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f01b7055d77418e4/Documents/Downloads/"/>
    </mc:Choice>
  </mc:AlternateContent>
  <xr:revisionPtr revIDLastSave="5351" documentId="11_D1CB9CB1369D00D7A0FB4D4B7F695DCD47BEE7C2" xr6:coauthVersionLast="47" xr6:coauthVersionMax="47" xr10:uidLastSave="{8C705741-FF32-4E39-8BD6-311E92F7F192}"/>
  <bookViews>
    <workbookView xWindow="-110" yWindow="-110" windowWidth="19420" windowHeight="10300" tabRatio="500" firstSheet="5" activeTab="6" xr2:uid="{00000000-000D-0000-FFFF-FFFF00000000}"/>
  </bookViews>
  <sheets>
    <sheet name="0 · Cover" sheetId="7" r:id="rId1"/>
    <sheet name="Transaction Data" sheetId="1" r:id="rId2"/>
    <sheet name="1 · Transaction Overview" sheetId="2" r:id="rId3"/>
    <sheet name="2 · Sources &amp; Uses" sheetId="3" r:id="rId4"/>
    <sheet name="3 · Operating Model" sheetId="4" r:id="rId5"/>
    <sheet name="4 · Debt Schedule &amp; FCF" sheetId="5" r:id="rId6"/>
    <sheet name="Chart1" sheetId="8" r:id="rId7"/>
    <sheet name="5 · Returns &amp; Sensitivities" sheetId="6" r:id="rId8"/>
  </sheets>
  <definedNames>
    <definedName name="_xlnm.Print_Area" localSheetId="0">'0 · Cover'!$A$1:$I$31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7" i="5" l="1"/>
  <c r="F97" i="5"/>
  <c r="E97" i="5"/>
  <c r="D97" i="5"/>
  <c r="H47" i="4"/>
  <c r="G47" i="4"/>
  <c r="F47" i="4"/>
  <c r="E47" i="4"/>
  <c r="D47" i="4"/>
  <c r="E16" i="7"/>
  <c r="B3" i="7"/>
  <c r="C37" i="4"/>
  <c r="B40" i="4"/>
  <c r="B2" i="4"/>
  <c r="B51" i="6"/>
  <c r="B20" i="6"/>
  <c r="B2" i="6"/>
  <c r="H31" i="4"/>
  <c r="G31" i="4"/>
  <c r="F31" i="4"/>
  <c r="E31" i="4"/>
  <c r="D31" i="4"/>
  <c r="C72" i="4"/>
  <c r="H71" i="4"/>
  <c r="G71" i="4"/>
  <c r="F71" i="4"/>
  <c r="E71" i="4"/>
  <c r="D71" i="4"/>
  <c r="H70" i="4"/>
  <c r="G70" i="4"/>
  <c r="F70" i="4"/>
  <c r="E70" i="4"/>
  <c r="D70" i="4"/>
  <c r="H68" i="4"/>
  <c r="G68" i="4"/>
  <c r="F68" i="4"/>
  <c r="E68" i="4"/>
  <c r="H67" i="4"/>
  <c r="G67" i="4"/>
  <c r="F67" i="4"/>
  <c r="E67" i="4"/>
  <c r="H66" i="4"/>
  <c r="G66" i="4"/>
  <c r="F66" i="4"/>
  <c r="E66" i="4"/>
  <c r="H65" i="4"/>
  <c r="G65" i="4"/>
  <c r="F65" i="4"/>
  <c r="E65" i="4"/>
  <c r="H64" i="4"/>
  <c r="H69" i="4" s="1"/>
  <c r="G64" i="4"/>
  <c r="G69" i="4" s="1"/>
  <c r="F64" i="4"/>
  <c r="F69" i="4" s="1"/>
  <c r="E64" i="4"/>
  <c r="E69" i="4" s="1"/>
  <c r="D69" i="4"/>
  <c r="C69" i="4"/>
  <c r="D68" i="4"/>
  <c r="C68" i="4"/>
  <c r="D67" i="4"/>
  <c r="C67" i="4"/>
  <c r="D66" i="4"/>
  <c r="C66" i="4"/>
  <c r="D65" i="4"/>
  <c r="C65" i="4"/>
  <c r="D64" i="4"/>
  <c r="C64" i="4"/>
  <c r="H61" i="4"/>
  <c r="G61" i="4"/>
  <c r="F61" i="4"/>
  <c r="E61" i="4"/>
  <c r="H60" i="4"/>
  <c r="G60" i="4"/>
  <c r="F60" i="4"/>
  <c r="E60" i="4"/>
  <c r="H59" i="4"/>
  <c r="G59" i="4"/>
  <c r="F59" i="4"/>
  <c r="E59" i="4"/>
  <c r="H58" i="4"/>
  <c r="G58" i="4"/>
  <c r="F58" i="4"/>
  <c r="E58" i="4"/>
  <c r="H57" i="4"/>
  <c r="G57" i="4"/>
  <c r="F57" i="4"/>
  <c r="E57" i="4"/>
  <c r="D61" i="4"/>
  <c r="D60" i="4"/>
  <c r="D59" i="4"/>
  <c r="D58" i="4"/>
  <c r="D57" i="4"/>
  <c r="C61" i="4"/>
  <c r="C60" i="4"/>
  <c r="C59" i="4"/>
  <c r="C58" i="4"/>
  <c r="C57" i="4"/>
  <c r="C54" i="4"/>
  <c r="C53" i="4"/>
  <c r="C110" i="5"/>
  <c r="C85" i="6"/>
  <c r="C84" i="6"/>
  <c r="C6" i="6"/>
  <c r="G29" i="5"/>
  <c r="F29" i="5"/>
  <c r="E29" i="5"/>
  <c r="D29" i="5"/>
  <c r="G28" i="5"/>
  <c r="F28" i="5"/>
  <c r="E28" i="5"/>
  <c r="D28" i="5"/>
  <c r="G27" i="5"/>
  <c r="F27" i="5"/>
  <c r="E27" i="5"/>
  <c r="D27" i="5"/>
  <c r="G19" i="5"/>
  <c r="F19" i="5"/>
  <c r="E19" i="5"/>
  <c r="D19" i="5"/>
  <c r="C31" i="5"/>
  <c r="C29" i="5"/>
  <c r="C28" i="5"/>
  <c r="C27" i="5"/>
  <c r="C19" i="5"/>
  <c r="C106" i="5"/>
  <c r="C105" i="5"/>
  <c r="C104" i="5"/>
  <c r="C103" i="5"/>
  <c r="G102" i="5"/>
  <c r="F102" i="5"/>
  <c r="E102" i="5"/>
  <c r="D102" i="5"/>
  <c r="C102" i="5"/>
  <c r="C101" i="5"/>
  <c r="C100" i="5"/>
  <c r="C99" i="5"/>
  <c r="C98" i="5"/>
  <c r="C106" i="6"/>
  <c r="C105" i="6"/>
  <c r="C101" i="6"/>
  <c r="C99" i="6"/>
  <c r="C98" i="6"/>
  <c r="C97" i="6"/>
  <c r="C96" i="6"/>
  <c r="C95" i="6"/>
  <c r="D87" i="6"/>
  <c r="D88" i="6" s="1"/>
  <c r="C7" i="4"/>
  <c r="H17" i="4"/>
  <c r="C28" i="7" s="1"/>
  <c r="G17" i="4"/>
  <c r="F17" i="4"/>
  <c r="E17" i="4"/>
  <c r="D17" i="4"/>
  <c r="H16" i="4"/>
  <c r="G16" i="4"/>
  <c r="F16" i="4"/>
  <c r="E16" i="4"/>
  <c r="D16" i="4"/>
  <c r="B28" i="7" s="1"/>
  <c r="G59" i="6"/>
  <c r="F59" i="6"/>
  <c r="E59" i="6"/>
  <c r="D59" i="6"/>
  <c r="C59" i="6"/>
  <c r="H28" i="7"/>
  <c r="G28" i="7"/>
  <c r="F28" i="7"/>
  <c r="D28" i="7"/>
  <c r="F17" i="7"/>
  <c r="C23" i="7"/>
  <c r="C13" i="7"/>
  <c r="C9" i="7"/>
  <c r="C8" i="7"/>
  <c r="C7" i="7"/>
  <c r="C6" i="7"/>
  <c r="C13" i="6"/>
  <c r="C15" i="5"/>
  <c r="C50" i="5" s="1"/>
  <c r="C14" i="5"/>
  <c r="C8" i="5"/>
  <c r="E28" i="7" s="1"/>
  <c r="C30" i="4"/>
  <c r="C27" i="4"/>
  <c r="C25" i="4"/>
  <c r="F7" i="7" s="1"/>
  <c r="C23" i="4"/>
  <c r="C32" i="3"/>
  <c r="C22" i="3"/>
  <c r="C21" i="3"/>
  <c r="C44" i="5" s="1"/>
  <c r="C20" i="3"/>
  <c r="C21" i="7" s="1"/>
  <c r="C16" i="3"/>
  <c r="C14" i="3"/>
  <c r="C33" i="2"/>
  <c r="C32" i="2"/>
  <c r="C29" i="2"/>
  <c r="C30" i="2" s="1"/>
  <c r="C21" i="2"/>
  <c r="C20" i="2"/>
  <c r="C17" i="2"/>
  <c r="C14" i="2"/>
  <c r="C11" i="2"/>
  <c r="C10" i="2"/>
  <c r="C9" i="2"/>
  <c r="C8" i="2"/>
  <c r="C7" i="2"/>
  <c r="C6" i="2"/>
  <c r="C54" i="1"/>
  <c r="C18" i="7" s="1"/>
  <c r="C53" i="1"/>
  <c r="C17" i="7" s="1"/>
  <c r="C50" i="1"/>
  <c r="C49" i="1"/>
  <c r="C46" i="1"/>
  <c r="C43" i="1"/>
  <c r="C34" i="1"/>
  <c r="C44" i="1" s="1"/>
  <c r="C91" i="5" l="1"/>
  <c r="C32" i="4"/>
  <c r="C31" i="2"/>
  <c r="C28" i="4"/>
  <c r="C29" i="4" s="1"/>
  <c r="C39" i="4"/>
  <c r="C24" i="2"/>
  <c r="C26" i="2"/>
  <c r="D23" i="4"/>
  <c r="F6" i="7"/>
  <c r="C25" i="2"/>
  <c r="C28" i="3"/>
  <c r="C14" i="7"/>
  <c r="C15" i="2"/>
  <c r="C16" i="2" s="1"/>
  <c r="C16" i="5"/>
  <c r="C8" i="6"/>
  <c r="C45" i="1"/>
  <c r="C47" i="1" s="1"/>
  <c r="C26" i="4"/>
  <c r="C15" i="3"/>
  <c r="G61" i="6" l="1"/>
  <c r="C61" i="6"/>
  <c r="E61" i="6"/>
  <c r="D61" i="6"/>
  <c r="F61" i="6"/>
  <c r="D30" i="4"/>
  <c r="D27" i="4"/>
  <c r="D24" i="4"/>
  <c r="E23" i="4"/>
  <c r="D25" i="4"/>
  <c r="C38" i="5"/>
  <c r="C90" i="5" s="1"/>
  <c r="C92" i="5" s="1"/>
  <c r="C13" i="3"/>
  <c r="C17" i="3" s="1"/>
  <c r="C23" i="3" s="1"/>
  <c r="C15" i="7"/>
  <c r="C18" i="2"/>
  <c r="C16" i="7" s="1"/>
  <c r="C94" i="5" l="1"/>
  <c r="C93" i="5"/>
  <c r="C22" i="7"/>
  <c r="C11" i="6"/>
  <c r="D84" i="6" s="1"/>
  <c r="C24" i="3"/>
  <c r="C27" i="3" s="1"/>
  <c r="C31" i="3"/>
  <c r="C33" i="3" s="1"/>
  <c r="C34" i="3" s="1"/>
  <c r="D32" i="4"/>
  <c r="C58" i="5"/>
  <c r="D91" i="5" s="1"/>
  <c r="D26" i="4"/>
  <c r="D28" i="4"/>
  <c r="C39" i="5"/>
  <c r="F23" i="4"/>
  <c r="E25" i="4"/>
  <c r="E27" i="4"/>
  <c r="E30" i="4"/>
  <c r="E24" i="4"/>
  <c r="C73" i="6" l="1"/>
  <c r="C55" i="6"/>
  <c r="C29" i="3"/>
  <c r="C24" i="7" s="1"/>
  <c r="D58" i="5"/>
  <c r="E91" i="5" s="1"/>
  <c r="E26" i="4"/>
  <c r="E32" i="4"/>
  <c r="E28" i="4"/>
  <c r="C54" i="6"/>
  <c r="C52" i="6"/>
  <c r="D52" i="6" s="1"/>
  <c r="C53" i="6"/>
  <c r="D53" i="6" s="1"/>
  <c r="F13" i="7"/>
  <c r="G23" i="4"/>
  <c r="F25" i="4"/>
  <c r="F30" i="4"/>
  <c r="F27" i="4"/>
  <c r="F24" i="4"/>
  <c r="C71" i="5"/>
  <c r="D29" i="4"/>
  <c r="D55" i="6" l="1"/>
  <c r="D54" i="6"/>
  <c r="E29" i="4"/>
  <c r="D71" i="5"/>
  <c r="E58" i="5"/>
  <c r="F91" i="5" s="1"/>
  <c r="F28" i="4"/>
  <c r="F26" i="4"/>
  <c r="F32" i="4"/>
  <c r="G27" i="4"/>
  <c r="H23" i="4"/>
  <c r="G24" i="4"/>
  <c r="G25" i="4"/>
  <c r="G30" i="4"/>
  <c r="G6" i="7" l="1"/>
  <c r="C35" i="4"/>
  <c r="F8" i="7" s="1"/>
  <c r="H27" i="4"/>
  <c r="H24" i="4"/>
  <c r="H30" i="4"/>
  <c r="H25" i="4"/>
  <c r="F29" i="4"/>
  <c r="E71" i="5"/>
  <c r="F58" i="5"/>
  <c r="G91" i="5" s="1"/>
  <c r="G28" i="4"/>
  <c r="G32" i="4"/>
  <c r="G26" i="4"/>
  <c r="G29" i="4" l="1"/>
  <c r="F71" i="5"/>
  <c r="C12" i="6"/>
  <c r="B56" i="6" s="1"/>
  <c r="G7" i="7"/>
  <c r="G58" i="5"/>
  <c r="C38" i="4"/>
  <c r="C36" i="4"/>
  <c r="F9" i="7" s="1"/>
  <c r="H28" i="4"/>
  <c r="H26" i="4"/>
  <c r="H32" i="4"/>
  <c r="H29" i="4" l="1"/>
  <c r="G71" i="5"/>
  <c r="D37" i="6"/>
  <c r="D60" i="6" s="1"/>
  <c r="G37" i="6"/>
  <c r="G60" i="6" s="1"/>
  <c r="F37" i="6"/>
  <c r="F60" i="6" s="1"/>
  <c r="C37" i="6"/>
  <c r="C60" i="6" s="1"/>
  <c r="C14" i="6"/>
  <c r="E37" i="6"/>
  <c r="E60" i="6" s="1"/>
  <c r="F10" i="7"/>
  <c r="G10" i="7"/>
  <c r="F14" i="7"/>
  <c r="F15" i="7"/>
  <c r="F16" i="7"/>
  <c r="F20" i="7"/>
  <c r="F21" i="7"/>
  <c r="F22" i="7"/>
  <c r="C40" i="4"/>
  <c r="C41" i="4"/>
  <c r="B42" i="4"/>
  <c r="C20" i="5"/>
  <c r="D20" i="5"/>
  <c r="E20" i="5"/>
  <c r="F20" i="5"/>
  <c r="G20" i="5"/>
  <c r="C21" i="5"/>
  <c r="D21" i="5"/>
  <c r="E21" i="5"/>
  <c r="F21" i="5"/>
  <c r="G21" i="5"/>
  <c r="C22" i="5"/>
  <c r="D22" i="5"/>
  <c r="E22" i="5"/>
  <c r="F22" i="5"/>
  <c r="G22" i="5"/>
  <c r="C23" i="5"/>
  <c r="D23" i="5"/>
  <c r="E23" i="5"/>
  <c r="F23" i="5"/>
  <c r="G23" i="5"/>
  <c r="C24" i="5"/>
  <c r="D24" i="5"/>
  <c r="E24" i="5"/>
  <c r="F24" i="5"/>
  <c r="G24" i="5"/>
  <c r="C25" i="5"/>
  <c r="D25" i="5"/>
  <c r="E25" i="5"/>
  <c r="F25" i="5"/>
  <c r="G25" i="5"/>
  <c r="C26" i="5"/>
  <c r="D26" i="5"/>
  <c r="E26" i="5"/>
  <c r="F26" i="5"/>
  <c r="G26" i="5"/>
  <c r="C30" i="5"/>
  <c r="D30" i="5"/>
  <c r="E30" i="5"/>
  <c r="F30" i="5"/>
  <c r="G30" i="5"/>
  <c r="D31" i="5"/>
  <c r="E31" i="5"/>
  <c r="F31" i="5"/>
  <c r="G31" i="5"/>
  <c r="C32" i="5"/>
  <c r="D32" i="5"/>
  <c r="E32" i="5"/>
  <c r="F32" i="5"/>
  <c r="G32" i="5"/>
  <c r="C33" i="5"/>
  <c r="D33" i="5"/>
  <c r="E33" i="5"/>
  <c r="F33" i="5"/>
  <c r="G33" i="5"/>
  <c r="C34" i="5"/>
  <c r="D34" i="5"/>
  <c r="E34" i="5"/>
  <c r="F34" i="5"/>
  <c r="G34" i="5"/>
  <c r="C35" i="5"/>
  <c r="D35" i="5"/>
  <c r="E35" i="5"/>
  <c r="F35" i="5"/>
  <c r="G35" i="5"/>
  <c r="D38" i="5"/>
  <c r="E38" i="5"/>
  <c r="F38" i="5"/>
  <c r="G38" i="5"/>
  <c r="D39" i="5"/>
  <c r="E39" i="5"/>
  <c r="F39" i="5"/>
  <c r="G39" i="5"/>
  <c r="C40" i="5"/>
  <c r="D40" i="5"/>
  <c r="E40" i="5"/>
  <c r="F40" i="5"/>
  <c r="G40" i="5"/>
  <c r="C41" i="5"/>
  <c r="D41" i="5"/>
  <c r="E41" i="5"/>
  <c r="F41" i="5"/>
  <c r="G41" i="5"/>
  <c r="D44" i="5"/>
  <c r="E44" i="5"/>
  <c r="F44" i="5"/>
  <c r="G44" i="5"/>
  <c r="C45" i="5"/>
  <c r="D45" i="5"/>
  <c r="E45" i="5"/>
  <c r="F45" i="5"/>
  <c r="G45" i="5"/>
  <c r="C46" i="5"/>
  <c r="D46" i="5"/>
  <c r="E46" i="5"/>
  <c r="F46" i="5"/>
  <c r="G46" i="5"/>
  <c r="C47" i="5"/>
  <c r="D47" i="5"/>
  <c r="E47" i="5"/>
  <c r="F47" i="5"/>
  <c r="G47" i="5"/>
  <c r="D50" i="5"/>
  <c r="E50" i="5"/>
  <c r="F50" i="5"/>
  <c r="G50" i="5"/>
  <c r="C51" i="5"/>
  <c r="D51" i="5"/>
  <c r="E51" i="5"/>
  <c r="F51" i="5"/>
  <c r="G51" i="5"/>
  <c r="C52" i="5"/>
  <c r="D52" i="5"/>
  <c r="E52" i="5"/>
  <c r="F52" i="5"/>
  <c r="G52" i="5"/>
  <c r="C55" i="5"/>
  <c r="D55" i="5"/>
  <c r="E55" i="5"/>
  <c r="F55" i="5"/>
  <c r="G55" i="5"/>
  <c r="C56" i="5"/>
  <c r="D56" i="5"/>
  <c r="E56" i="5"/>
  <c r="F56" i="5"/>
  <c r="G56" i="5"/>
  <c r="C57" i="5"/>
  <c r="D57" i="5"/>
  <c r="E57" i="5"/>
  <c r="F57" i="5"/>
  <c r="G57" i="5"/>
  <c r="C59" i="5"/>
  <c r="D59" i="5"/>
  <c r="E59" i="5"/>
  <c r="F59" i="5"/>
  <c r="G59" i="5"/>
  <c r="C60" i="5"/>
  <c r="D60" i="5"/>
  <c r="E60" i="5"/>
  <c r="F60" i="5"/>
  <c r="G60" i="5"/>
  <c r="C61" i="5"/>
  <c r="D61" i="5"/>
  <c r="E61" i="5"/>
  <c r="F61" i="5"/>
  <c r="G61" i="5"/>
  <c r="C62" i="5"/>
  <c r="C63" i="5"/>
  <c r="C64" i="5"/>
  <c r="B66" i="5"/>
  <c r="C72" i="5"/>
  <c r="D72" i="5"/>
  <c r="E72" i="5"/>
  <c r="F72" i="5"/>
  <c r="G72" i="5"/>
  <c r="C73" i="5"/>
  <c r="D73" i="5"/>
  <c r="E73" i="5"/>
  <c r="F73" i="5"/>
  <c r="G73" i="5"/>
  <c r="D74" i="5"/>
  <c r="E74" i="5"/>
  <c r="F74" i="5"/>
  <c r="G74" i="5"/>
  <c r="C75" i="5"/>
  <c r="D75" i="5"/>
  <c r="E75" i="5"/>
  <c r="F75" i="5"/>
  <c r="G75" i="5"/>
  <c r="C76" i="5"/>
  <c r="D76" i="5"/>
  <c r="E76" i="5"/>
  <c r="F76" i="5"/>
  <c r="G76" i="5"/>
  <c r="C77" i="5"/>
  <c r="D77" i="5"/>
  <c r="E77" i="5"/>
  <c r="F77" i="5"/>
  <c r="G77" i="5"/>
  <c r="C78" i="5"/>
  <c r="D78" i="5"/>
  <c r="E78" i="5"/>
  <c r="F78" i="5"/>
  <c r="G78" i="5"/>
  <c r="C79" i="5"/>
  <c r="D79" i="5"/>
  <c r="E79" i="5"/>
  <c r="F79" i="5"/>
  <c r="G79" i="5"/>
  <c r="C80" i="5"/>
  <c r="D80" i="5"/>
  <c r="E80" i="5"/>
  <c r="F80" i="5"/>
  <c r="G80" i="5"/>
  <c r="C81" i="5"/>
  <c r="D81" i="5"/>
  <c r="E81" i="5"/>
  <c r="F81" i="5"/>
  <c r="G81" i="5"/>
  <c r="D90" i="5"/>
  <c r="E90" i="5"/>
  <c r="F90" i="5"/>
  <c r="G90" i="5"/>
  <c r="D92" i="5"/>
  <c r="E92" i="5"/>
  <c r="F92" i="5"/>
  <c r="G92" i="5"/>
  <c r="D93" i="5"/>
  <c r="E93" i="5"/>
  <c r="F93" i="5"/>
  <c r="G93" i="5"/>
  <c r="D94" i="5"/>
  <c r="E94" i="5"/>
  <c r="F94" i="5"/>
  <c r="G94" i="5"/>
  <c r="C95" i="5"/>
  <c r="D95" i="5"/>
  <c r="E95" i="5"/>
  <c r="F95" i="5"/>
  <c r="G95" i="5"/>
  <c r="C112" i="5"/>
  <c r="D112" i="5"/>
  <c r="E112" i="5"/>
  <c r="F112" i="5"/>
  <c r="G112" i="5"/>
  <c r="C113" i="5"/>
  <c r="D113" i="5"/>
  <c r="E113" i="5"/>
  <c r="F113" i="5"/>
  <c r="G113" i="5"/>
  <c r="B3" i="6"/>
  <c r="C15" i="6"/>
  <c r="C16" i="6"/>
  <c r="C17" i="6"/>
  <c r="C18" i="6"/>
  <c r="C19" i="6"/>
  <c r="C20" i="6"/>
  <c r="H20" i="6"/>
  <c r="C24" i="6"/>
  <c r="D24" i="6"/>
  <c r="E24" i="6"/>
  <c r="F24" i="6"/>
  <c r="G24" i="6"/>
  <c r="C25" i="6"/>
  <c r="D25" i="6"/>
  <c r="E25" i="6"/>
  <c r="F25" i="6"/>
  <c r="G25" i="6"/>
  <c r="C26" i="6"/>
  <c r="D26" i="6"/>
  <c r="E26" i="6"/>
  <c r="F26" i="6"/>
  <c r="G26" i="6"/>
  <c r="C27" i="6"/>
  <c r="D27" i="6"/>
  <c r="E27" i="6"/>
  <c r="F27" i="6"/>
  <c r="G27" i="6"/>
  <c r="C28" i="6"/>
  <c r="D28" i="6"/>
  <c r="E28" i="6"/>
  <c r="F28" i="6"/>
  <c r="G28" i="6"/>
  <c r="C29" i="6"/>
  <c r="D29" i="6"/>
  <c r="E29" i="6"/>
  <c r="F29" i="6"/>
  <c r="G29" i="6"/>
  <c r="C30" i="6"/>
  <c r="D30" i="6"/>
  <c r="E30" i="6"/>
  <c r="F30" i="6"/>
  <c r="G30" i="6"/>
  <c r="C31" i="6"/>
  <c r="D31" i="6"/>
  <c r="E31" i="6"/>
  <c r="F31" i="6"/>
  <c r="G31" i="6"/>
  <c r="C32" i="6"/>
  <c r="D32" i="6"/>
  <c r="E32" i="6"/>
  <c r="F32" i="6"/>
  <c r="G32" i="6"/>
  <c r="C33" i="6"/>
  <c r="D33" i="6"/>
  <c r="E33" i="6"/>
  <c r="F33" i="6"/>
  <c r="G33" i="6"/>
  <c r="C38" i="6"/>
  <c r="D38" i="6"/>
  <c r="E38" i="6"/>
  <c r="F38" i="6"/>
  <c r="G38" i="6"/>
  <c r="C39" i="6"/>
  <c r="D39" i="6"/>
  <c r="E39" i="6"/>
  <c r="F39" i="6"/>
  <c r="G39" i="6"/>
  <c r="C40" i="6"/>
  <c r="D40" i="6"/>
  <c r="E40" i="6"/>
  <c r="F40" i="6"/>
  <c r="G40" i="6"/>
  <c r="C41" i="6"/>
  <c r="D41" i="6"/>
  <c r="E41" i="6"/>
  <c r="F41" i="6"/>
  <c r="G41" i="6"/>
  <c r="C42" i="6"/>
  <c r="D42" i="6"/>
  <c r="E42" i="6"/>
  <c r="F42" i="6"/>
  <c r="G42" i="6"/>
  <c r="C43" i="6"/>
  <c r="D43" i="6"/>
  <c r="E43" i="6"/>
  <c r="F43" i="6"/>
  <c r="G43" i="6"/>
  <c r="C44" i="6"/>
  <c r="D44" i="6"/>
  <c r="E44" i="6"/>
  <c r="F44" i="6"/>
  <c r="G44" i="6"/>
  <c r="C45" i="6"/>
  <c r="D45" i="6"/>
  <c r="E45" i="6"/>
  <c r="F45" i="6"/>
  <c r="G45" i="6"/>
  <c r="C46" i="6"/>
  <c r="D46" i="6"/>
  <c r="E46" i="6"/>
  <c r="F46" i="6"/>
  <c r="G46" i="6"/>
  <c r="C47" i="6"/>
  <c r="E52" i="6"/>
  <c r="F52" i="6"/>
  <c r="E53" i="6"/>
  <c r="F53" i="6"/>
  <c r="E54" i="6"/>
  <c r="F54" i="6"/>
  <c r="E55" i="6"/>
  <c r="F55"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C74" i="6"/>
  <c r="C75" i="6"/>
  <c r="C76" i="6"/>
  <c r="C77" i="6"/>
  <c r="C78" i="6"/>
  <c r="C79" i="6"/>
  <c r="C80" i="6"/>
  <c r="C81" i="6"/>
  <c r="D85" i="6"/>
  <c r="D86" i="6"/>
  <c r="D89" i="6"/>
  <c r="D90" i="6"/>
  <c r="D91" i="6"/>
  <c r="D92" i="6"/>
  <c r="C100" i="6"/>
  <c r="C102" i="6"/>
  <c r="C103" i="6"/>
  <c r="D103" i="6"/>
  <c r="D105" i="6"/>
  <c r="D106" i="6"/>
  <c r="C107" i="6"/>
  <c r="D107" i="6"/>
  <c r="C108" i="6"/>
  <c r="D108" i="6"/>
  <c r="C109" i="6"/>
  <c r="D109" i="6"/>
  <c r="C110" i="6"/>
  <c r="D110" i="6"/>
  <c r="C111" i="6"/>
  <c r="C112" i="6"/>
  <c r="C11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7" authorId="0" shapeId="0" xr:uid="{00000000-0006-0000-0000-000001000000}">
      <text>
        <r>
          <rPr>
            <sz val="10"/>
            <rFont val="Arial"/>
            <family val="2"/>
          </rPr>
          <t>$55.00 in cash per CBIZ share.
Source: Merger 8-K / GT press release, 28 Jul 2026.
https://www.sec.gov/Archives/edgar/data/944148/000119312526322225/d174772d8k.htm</t>
        </r>
      </text>
    </comment>
    <comment ref="C8" authorId="0" shapeId="0" xr:uid="{00000000-0006-0000-0000-000002000000}">
      <text>
        <r>
          <rPr>
            <sz val="10"/>
            <rFont val="Arial"/>
            <family val="2"/>
          </rPr>
          <t>Stated enterprise value of $5.0 billion (all-cash).
Source: Merger 8-K / GT press release.
https://www.sec.gov/Archives/edgar/data/944148/000119312526322225/d174772d8k.htm</t>
        </r>
      </text>
    </comment>
    <comment ref="C9" authorId="0" shapeId="0" xr:uid="{00000000-0006-0000-0000-000003000000}">
      <text>
        <r>
          <rPr>
            <sz val="10"/>
            <rFont val="Arial"/>
            <family val="2"/>
          </rPr>
          <t>~54% premium to CBIZ 30-day volume-weighted average price.
Source: Merger 8-K.
https://www.sec.gov/Archives/edgar/data/944148/000119312526322225/d174772d8k.htm</t>
        </r>
      </text>
    </comment>
    <comment ref="C10" authorId="0" shapeId="0" xr:uid="{00000000-0006-0000-0000-000004000000}">
      <text>
        <r>
          <rPr>
            <sz val="10"/>
            <rFont val="Arial"/>
            <family val="2"/>
          </rPr>
          <t>~17.8% premium to last closing price (per Reuters via deal coverage).</t>
        </r>
      </text>
    </comment>
    <comment ref="C11" authorId="0" shapeId="0" xr:uid="{00000000-0006-0000-0000-000005000000}">
      <text>
        <r>
          <rPr>
            <sz val="10"/>
            <rFont val="Arial"/>
            <family val="2"/>
          </rPr>
          <t>New Mountain Partners VII + third-party sources committed $5.2bn to fund the transaction.
Source: DEFA14A, 29 Jul 2026.
https://www.sec.gov/Archives/edgar/data/0000944148/000119312526324268/d127027ddefa14a.htm</t>
        </r>
      </text>
    </comment>
    <comment ref="C12" authorId="0" shapeId="0" xr:uid="{00000000-0006-0000-0000-000006000000}">
      <text>
        <r>
          <rPr>
            <sz val="10"/>
            <rFont val="Arial"/>
            <family val="2"/>
          </rPr>
          <t>CBIZ termination fee ~$107.5M.
Source: Merger 8-K.
https://www.sec.gov/Archives/edgar/data/944148/000119312526322225/d174772d8k.htm</t>
        </r>
      </text>
    </comment>
    <comment ref="C13" authorId="0" shapeId="0" xr:uid="{00000000-0006-0000-0000-000007000000}">
      <text>
        <r>
          <rPr>
            <sz val="10"/>
            <rFont val="Arial"/>
            <family val="2"/>
          </rPr>
          <t>Parent = Viking ParentCo; Merger Sub = Viking MergerCo. CBIZ survives as wholly owned sub; delisted from NYSE.</t>
        </r>
      </text>
    </comment>
    <comment ref="C18" authorId="0" shapeId="0" xr:uid="{00000000-0006-0000-0000-000008000000}">
      <text>
        <r>
          <rPr>
            <sz val="10"/>
            <rFont val="Arial"/>
            <family val="2"/>
          </rPr>
          <t>Total CBIZ revenue $2,757,991k.
Source: 10-K FY2025 / FY2025 results release.
https://www.sec.gov/Archives/edgar/data/944148/000094414826000038/cbz-20251231.htm</t>
        </r>
      </text>
    </comment>
    <comment ref="C19" authorId="0" shapeId="0" xr:uid="{00000000-0006-0000-0000-000009000000}">
      <text>
        <r>
          <rPr>
            <sz val="10"/>
            <rFont val="Arial"/>
            <family val="2"/>
          </rPr>
          <t>Adjusted EBITDA $446,898k (consolidated). Non-GAAP; excludes Transaction/integration costs, intangible amortization.
Source: FY2025 results release, GAAP reconciliation.
https://ir.cbiz.com/news-releases/news-release-details/cbiz-reports-fourth-quarter-and-full-year-2025-financial-results</t>
        </r>
      </text>
    </comment>
    <comment ref="C20" authorId="0" shapeId="0" xr:uid="{00000000-0006-0000-0000-00000A000000}">
      <text>
        <r>
          <rPr>
            <sz val="10"/>
            <rFont val="Arial"/>
            <family val="2"/>
          </rPr>
          <t>Operating income $234,010k (8.5% margin).
Source: FY2025 results release.
https://ir.cbiz.com/news-releases/news-release-details/cbiz-reports-fourth-quarter-and-full-year-2025-financial-results</t>
        </r>
      </text>
    </comment>
    <comment ref="C21" authorId="0" shapeId="0" xr:uid="{00000000-0006-0000-0000-00000B000000}">
      <text>
        <r>
          <rPr>
            <sz val="10"/>
            <rFont val="Arial"/>
            <family val="2"/>
          </rPr>
          <t>D&amp;A expense $98,270k (of which acquired-intangible amortization $74,904k).
Source: FY2025 results release, cash flow data.
https://ir.cbiz.com/news-releases/news-release-details/cbiz-reports-fourth-quarter-and-full-year-2025-financial-results</t>
        </r>
      </text>
    </comment>
    <comment ref="C22" authorId="0" shapeId="0" xr:uid="{00000000-0006-0000-0000-00000C000000}">
      <text>
        <r>
          <rPr>
            <sz val="10"/>
            <rFont val="Arial"/>
            <family val="2"/>
          </rPr>
          <t>Interest expense $107,215k FY2025 (vs $34,379k FY2024 — post-Marcum leverage).
Source: FY2025 results release.
https://ir.cbiz.com/news-releases/news-release-details/cbiz-reports-fourth-quarter-and-full-year-2025-financial-results</t>
        </r>
      </text>
    </comment>
    <comment ref="C23" authorId="0" shapeId="0" xr:uid="{00000000-0006-0000-0000-00000D000000}">
      <text>
        <r>
          <rPr>
            <sz val="10"/>
            <rFont val="Arial"/>
            <family val="2"/>
          </rPr>
          <t>Net income $115,444k; GAAP diluted EPS $1.83.
Source: FY2025 results release.
https://ir.cbiz.com/news-releases/news-release-details/cbiz-reports-fourth-quarter-and-full-year-2025-financial-results</t>
        </r>
      </text>
    </comment>
    <comment ref="C24" authorId="0" shapeId="0" xr:uid="{00000000-0006-0000-0000-00000E000000}">
      <text>
        <r>
          <rPr>
            <sz val="10"/>
            <rFont val="Arial"/>
            <family val="2"/>
          </rPr>
          <t>Net cash from operating activities $192,485k.
Source: FY2025 results release.
https://ir.cbiz.com/news-releases/news-release-details/cbiz-reports-fourth-quarter-and-full-year-2025-financial-results</t>
        </r>
      </text>
    </comment>
    <comment ref="C25" authorId="0" shapeId="0" xr:uid="{00000000-0006-0000-0000-00000F000000}">
      <text>
        <r>
          <rPr>
            <sz val="10"/>
            <rFont val="Arial"/>
            <family val="2"/>
          </rPr>
          <t>FCF $175,526k (OCF less $16,959k capex).
Source: FY2025 results release.
https://ir.cbiz.com/news-releases/news-release-details/cbiz-reports-fourth-quarter-and-full-year-2025-financial-results</t>
        </r>
      </text>
    </comment>
    <comment ref="C26" authorId="0" shapeId="0" xr:uid="{00000000-0006-0000-0000-000010000000}">
      <text>
        <r>
          <rPr>
            <sz val="10"/>
            <rFont val="Arial"/>
            <family val="2"/>
          </rPr>
          <t>~28.5% effective tax rate per 2026 outlook. Useful placeholder for the operating model.
Source: FY2025 results release, 2026 outlook.
https://ir.cbiz.com/news-releases/news-release-details/cbiz-reports-fourth-quarter-and-full-year-2025-financial-results</t>
        </r>
      </text>
    </comment>
    <comment ref="C29" authorId="0" shapeId="0" xr:uid="{00000000-0006-0000-0000-000011000000}">
      <text>
        <r>
          <rPr>
            <sz val="10"/>
            <rFont val="Arial"/>
            <family val="2"/>
          </rPr>
          <t>$1,472.4M principal under 2024 Credit Facilities ($1,400M Term Loan + $600M Revolver capacity).
Source: 10-K FY2025, Risk Factors / Debt.
https://www.sec.gov/Archives/edgar/data/944148/000094414826000038/cbz-20251231.htm</t>
        </r>
      </text>
    </comment>
    <comment ref="C30" authorId="0" shapeId="0" xr:uid="{00000000-0006-0000-0000-000012000000}">
      <text>
        <r>
          <rPr>
            <sz val="10"/>
            <rFont val="Arial"/>
            <family val="2"/>
          </rPr>
          <t>Current portion $66,372k + long-term $1,389,552k = $1,455,924k (net of deferred financing costs).
Source: FY2025 results release, select financial data.
https://ir.cbiz.com/news-releases/news-release-details/cbiz-reports-fourth-quarter-and-full-year-2025-financial-results</t>
        </r>
      </text>
    </comment>
    <comment ref="C31" authorId="0" shapeId="0" xr:uid="{00000000-0006-0000-0000-000013000000}">
      <text>
        <r>
          <rPr>
            <sz val="10"/>
            <rFont val="Arial"/>
            <family val="2"/>
          </rPr>
          <t>Cash &amp; cash equivalents $18,290k. Excludes restricted cash and client funds (see below).
Source: FY2025 results release, select financial data.
https://ir.cbiz.com/news-releases/news-release-details/cbiz-reports-fourth-quarter-and-full-year-2025-financial-results</t>
        </r>
      </text>
    </comment>
    <comment ref="C32" authorId="0" shapeId="0" xr:uid="{00000000-0006-0000-0000-000014000000}">
      <text>
        <r>
          <rPr>
            <sz val="10"/>
            <rFont val="Arial"/>
            <family val="2"/>
          </rPr>
          <t>Restricted cash $38,234k — not freely available; excluded from net debt.</t>
        </r>
      </text>
    </comment>
    <comment ref="C33" authorId="0" shapeId="0" xr:uid="{00000000-0006-0000-0000-000015000000}">
      <text>
        <r>
          <rPr>
            <sz val="10"/>
            <rFont val="Arial"/>
            <family val="2"/>
          </rPr>
          <t>Funds held for clients $207,037k, offset by client fund obligations $206,738k. Pass-through; excluded from net debt.</t>
        </r>
      </text>
    </comment>
    <comment ref="C37" authorId="0" shapeId="0" xr:uid="{00000000-0006-0000-0000-000016000000}">
      <text>
        <r>
          <rPr>
            <sz val="10"/>
            <rFont val="Arial"/>
            <family val="2"/>
          </rPr>
          <t>50,073,624 shares outstanding per 10-K cover page (20 Feb 2026). Basic — EXCLUDES undelivered Marcum stock consideration.
https://www.sec.gov/Archives/edgar/data/944148/000094414826000038/cbz-20251231.htm</t>
        </r>
      </text>
    </comment>
    <comment ref="C38" authorId="0" shapeId="0" xr:uid="{00000000-0006-0000-0000-000017000000}">
      <text>
        <r>
          <rPr>
            <sz val="10"/>
            <rFont val="Arial"/>
            <family val="2"/>
          </rPr>
          <t>54,380k shares outstanding on the year-end balance sheet.
Source: FY2025 results release, select financial data.
https://ir.cbiz.com/news-releases/news-release-details/cbiz-reports-fourth-quarter-and-full-year-2025-financial-results</t>
        </r>
      </text>
    </comment>
    <comment ref="C39" authorId="0" shapeId="0" xr:uid="{00000000-0006-0000-0000-000018000000}">
      <text>
        <r>
          <rPr>
            <sz val="10"/>
            <rFont val="Arial"/>
            <family val="2"/>
          </rPr>
          <t>63,240k diluted weighted-average shares FY2025. Reflects Marcum deferred stock consideration (shares delivered monthly over 36 months from 2 Jan 2025).
Source: FY2025 results release.
https://ir.cbiz.com/news-releases/news-release-details/cbiz-reports-fourth-quarter-and-full-year-2025-financial-results</t>
        </r>
      </text>
    </comment>
    <comment ref="C40" authorId="0" shapeId="0" xr:uid="{00000000-0006-0000-0000-000019000000}">
      <text>
        <r>
          <rPr>
            <sz val="10"/>
            <rFont val="Arial"/>
            <family val="2"/>
          </rPr>
          <t>~62M weighted-average fully diluted shares per 2026 outlook.
Source: FY2025 results release, 2026 outlook.
https://ir.cbiz.com/news-releases/news-release-details/cbiz-reports-fourth-quarter-and-full-year-2025-financial-results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Yirviel Somé</author>
  </authors>
  <commentList>
    <comment ref="C6" authorId="0" shapeId="0" xr:uid="{6AAF18EC-F82A-4296-BFB5-6ABB18ECD9F0}">
      <text>
        <r>
          <rPr>
            <b/>
            <sz val="9"/>
            <color indexed="81"/>
            <rFont val="Tahoma"/>
            <family val="2"/>
          </rPr>
          <t>Entry leverage lever. 5.5x Adj. EBITDA of $446.9M sizes the new Term Loan at ~$2,458M. Typical for a sponsor-backed take-private of a recurring-revenue professional services platform; CBIZ already ran ~3.3x post-Marcum. Change this cell to re-lever the deal.
MARKET CALIBRATION — benchmarked, NOT disclosed. The actual debt quantum sits in the Parent's commitment letter and will not be public until the merger proxy (PREM14A/DEFM14A). Note the announced $5.2bn of committed financing to Parent ('Transaction Data' C11) is an aggregate equity-plus-debt figure and does not by itself pin down the leverage split.
Benchmark anchors — PitchBook | LCD tracked sponsor buyouts:
· Average pro forma debt multiple on deals tracked at closing was 5.2x in 2024, up from a 13-year low of 4.9x in 2023, versus the 6.0x risk-on peak of 2019 and a ten-year average of 5.7x.
· Reliance on first-lien debt is at a record: 4.9x of 2024 leverage came from first lien alone (up from 4.6x in 2023), with second-lien/junior cushion negligible at 0.14x in 2024 and 0.06x in 2023.
  Source: PitchBook | LCD,
  https://pitchbook.com/news/articles/lbo-update-interest-coverage-squeezed-to-record-lows-for-loan-deals-in-2024
READ-ACROSS: at 5.5x this deal is levered about a third of a turn above the LCD closed-deal average and a fifth of a turn below the ten-year average — i.e. modestly aggressive versus recent vintages, not an outlier. Two features support the quantum for THIS credit: (i) the structure is all-first-lien Term Loan B, which is exactly where the market's capacity has concentrated, and (ii) CBIZ is asset-light with recurring, largely non-cyclical compliance and advisory revenue and strong billing discipline, the cash-flow profile lenders underwrite most comfortably at the top of the range. Against it: 5.5x is roughly 2.2 turns above CBIZ's own ~3.3x post-Marcum leverage, and FY2026E interest coverage of ~2.3x leaves modest headroom.
Sensitivity: this cell drives the Term Loan size in C20, hence Tab 4 interest, the sweep and exit net debt, and hence the Tab 5 IRR. Flex it here rather than overriding C20.</t>
        </r>
      </text>
    </comment>
    <comment ref="C7" authorId="0" shapeId="0" xr:uid="{D74EE3ED-9949-4A0F-8C58-2E4B9EA624BC}">
      <text>
        <r>
          <rPr>
            <b/>
            <sz val="9"/>
            <color indexed="81"/>
            <rFont val="Tahoma"/>
            <family val="2"/>
          </rPr>
          <t>Yirviel Somé:</t>
        </r>
        <r>
          <rPr>
            <sz val="9"/>
            <color indexed="81"/>
            <rFont val="Tahoma"/>
            <family val="2"/>
          </rPr>
          <t xml:space="preserve">
OID + arrangement/underwriting fees on new funded debt (Term Loan + revolver drawn). 2.5% is a market-standard placeholder for a broadly syndicated / private-credit unitranche take-private. Capitalized and amortized over the debt life in the model.</t>
        </r>
      </text>
    </comment>
    <comment ref="C8" authorId="0" shapeId="0" xr:uid="{7C8940AE-1509-4309-88B2-74D9C8FF28B0}">
      <text>
        <r>
          <rPr>
            <b/>
            <sz val="9"/>
            <color indexed="81"/>
            <rFont val="Tahoma"/>
            <family val="2"/>
          </rPr>
          <t>Yirviel Somé:</t>
        </r>
        <r>
          <rPr>
            <sz val="9"/>
            <color indexed="81"/>
            <rFont val="Tahoma"/>
            <family val="2"/>
          </rPr>
          <t xml:space="preserve">
M&amp;A advisory, legal, accounting, D&amp;O tail and other closing costs, expressed as % of the $5.0bn announced enterprise value. 1.5% (~$75M) is a reasonable placeholder pending the merger proxy fee disclosure.</t>
        </r>
      </text>
    </comment>
    <comment ref="C9" authorId="0" shapeId="0" xr:uid="{46F75072-B951-4FA2-8DD1-C1771FE3A0C2}">
      <text>
        <r>
          <rPr>
            <b/>
            <sz val="9"/>
            <color indexed="81"/>
            <rFont val="Tahoma"/>
            <family val="2"/>
          </rPr>
          <t>Yirviel Somé:</t>
        </r>
        <r>
          <rPr>
            <sz val="9"/>
            <color indexed="81"/>
            <rFont val="Tahoma"/>
            <family val="2"/>
          </rPr>
          <t xml:space="preserve">
Set to $0.0 — sponsors normally close with an undrawn revolver so the facility is fully available for post-close working capital and bolt-ons. Raise this to fund part of the purchase price with revolver capacity.</t>
        </r>
      </text>
    </comment>
    <comment ref="C10" authorId="0" shapeId="0" xr:uid="{670BB3A9-F523-4883-AA4D-13AD2A828D3E}">
      <text>
        <r>
          <rPr>
            <b/>
            <sz val="9"/>
            <color indexed="81"/>
            <rFont val="Tahoma"/>
            <family val="2"/>
          </rPr>
          <t>Yirviel Somé:</t>
        </r>
        <r>
          <rPr>
            <sz val="9"/>
            <color indexed="81"/>
            <rFont val="Tahoma"/>
            <family val="2"/>
          </rPr>
          <t xml:space="preserve">
Set to $0.0 — CBIZ holds only $18.3M of unrestricted cash (Transaction Data C31), immaterial to a $5.2bn financing and needed as opening operating cash. Restricted cash ($38.2M) and client funds ($207.0M) are not available.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Yirviel Somé</author>
  </authors>
  <commentList>
    <comment ref="C6" authorId="0" shapeId="0" xr:uid="{5D3D03A0-6521-485E-9B80-2D3A1E584F8B}">
      <text>
        <r>
          <rPr>
            <b/>
            <sz val="9"/>
            <color indexed="81"/>
            <rFont val="Tahoma"/>
            <family val="2"/>
          </rPr>
          <t>SCENARIO TOGGLE — the only cell that needs to change to flex the business case.
1 = BASE      revenue growth 5.0% p.a.; Adj. EBITDA margin steps 16.2% -&gt; 17.4% (+30bps p.a.)
2 = DOWNSIDE  revenue growth 3.0% p.a.; Adj. EBITDA margin held flat at 16.2% (no expansion)
3 = STRESS    revenue -3.0% in FY2026E then FLAT; Adj. EBITDA margin compresses 16.2% -&gt; 14.0% (-55bps p.a.)
Rows 16 (revenue growth %) and 17 (Adj. EBITDA margin %) are CHOOSE formulas that pick the selected case out of the case library in rows 9-14. Everything downstream is live: Tab 3 revenue/EBITDA/EBIT/capex/NWC/operating cash flow, Tab 4 interest, taxes, mandatory amortization, the leverage-based cash sweep, Term Loan rollforward and exit net debt, and Tab 5 exit EV, MOIC and IRR. Nothing is hardcoded to a case.
Case 3 (STRESS) is deliberately severe: revenue never regains the FY2025A base while margin sheds 220bps, so FY2030E Adj. EBITDA lands BELOW the $446.9M entry EBITDA the 5.5x leverage was struck on. Net leverage therefore RISES over the hold instead of falling. Expect a materially negative equity outcome — that is the point of the case.
Unaffected by design: FY2025A column C (reported actuals) and the entry capital structure on Tab 2, which is struck off FY2025A Adj. EBITDA at 5.5x. Sources = Uses therefore stays balanced in all three cases.
To add a fourth case, extend the library with a new revenue-growth row and a new margin row and add the argument to the CHOOSE formulas in rows 16-17.</t>
        </r>
      </text>
    </comment>
    <comment ref="H14" authorId="0" shapeId="0" xr:uid="{BD28D4AB-394C-4BED-A860-7DDA8E674F2D}">
      <text>
        <r>
          <rPr>
            <b/>
            <sz val="9"/>
            <color indexed="81"/>
            <rFont val="Tahoma"/>
            <family val="2"/>
          </rPr>
          <t>Yirviel Somé:</t>
        </r>
        <r>
          <rPr>
            <sz val="9"/>
            <color indexed="81"/>
            <rFont val="Tahoma"/>
            <family val="2"/>
          </rPr>
          <t xml:space="preserve">
Case 3 · STRESS — Adj. EBITDA margin glide path. Blue inputs.
Anchored at the FY2025A / FY2026E margin of 16.2% and compressed on a straight line to 14.0% by FY2030E: 16.2% → 15.65% → 15.1% → 14.55% → 14.0%, i.e. −55bps per year, −220bps cumulative.
WHY 16.2% IN FY2026E: all three cases are anchored at the FY2025A realised margin so the case library is internally consistent and the entry capital structure (struck at 5.5x FY2025A Adj. EBITDA on Tab 2) stays valid in every case. The stress is therefore a forward-looking compression, not a restatement of the entry year.
JUDGEMENT CALL / ALTERNATIVE VIEW: with revenue falling 3.0% in FY2026E, negative operating leverage would in practice bite in year one, so holding FY2026E flat at 16.2% is the mildest defensible reading of this case. A harsher variant would step FY2026E straight down to roughly 15.5% and glide to 14.0% from there. If you want the more punitive path, overwrite D14 — the CHOOSE formula in row 17 and everything downstream will follow.
ECONOMICS OF THE CASE: revenue never regains the FY2025A base (row 11) while margin sheds 220bps, so FY2030E Adj. EBITDA falls well BELOW the $446.9M entry EBITDA on which the 5.5x leverage was struck. Net leverage therefore rises rather than falls over the hold, the §163(j) cap tightens as EBIT shrinks, and the leverage-based cash sweep in section 8 of Tab 4 stays pinned in Tier 1 (50%) throughout. This is the case that is intended to break the equity.</t>
        </r>
      </text>
    </comment>
    <comment ref="D16" authorId="0" shapeId="0" xr:uid="{93590481-BA21-45B0-BB0E-D64CC0C89806}">
      <text>
        <r>
          <rPr>
            <b/>
            <sz val="9"/>
            <color indexed="81"/>
            <rFont val="Tahoma"/>
            <family val="2"/>
          </rPr>
          <t>SELECTED-CASE OUTPUT — no longer a hardcoded input.
=CHOOSE($C$6, D9, D10, D11) picks revenue growth from the case library: row 9 = Base (5.0%), row 10 = Downside (3.0%), row 11 = STRESS (-3.0% in FY2026E, then flat). Change the case in C6, not this cell.
Base 5.0% p.a. is organic-only growth for a recurring-revenue accounting/advisory platform, below CBIZ's Marcum-inflated reported growth and assuming no further large M&amp;A. Downside 3.0% reflects softer advisory demand and no pricing lift. STRESS assumes outright client attrition in year one and no recovery thereafter.</t>
        </r>
      </text>
    </comment>
    <comment ref="D17" authorId="0" shapeId="0" xr:uid="{ABF39731-D7D3-4092-BC08-CBD406B11FEB}">
      <text>
        <r>
          <rPr>
            <b/>
            <sz val="9"/>
            <color indexed="81"/>
            <rFont val="Tahoma"/>
            <family val="2"/>
          </rPr>
          <t>SELECTED-CASE OUTPUT — no longer a hardcoded input.
=CHOOSE($C$6, D12, D13, D14) picks the Adj. EBITDA margin from the case library: row 12 = Base (16.2% stepping +30bps p.a. to 17.4%), row 13 = Downside (flat 16.2%), row 14 = STRESS (16.2% compressing -55bps p.a. to 14.0%). Change the case in C6, not this cell.
Base expansion is underwritten on Marcum integration synergies, cost rationalization and operating leverage off the 16.2% FY2025A base (446.9 / 2,758.0). The Downside assumes none of that drops through to margin. STRESS assumes pricing pressure and negative operating leverage actively erode the FY2025A margin.</t>
        </r>
      </text>
    </comment>
    <comment ref="D18" authorId="0" shapeId="0" xr:uid="{2E213530-F5EC-4D5D-88F2-0F49DD931326}">
      <text>
        <r>
          <rPr>
            <b/>
            <sz val="9"/>
            <color indexed="81"/>
            <rFont val="Tahoma"/>
            <family val="2"/>
          </rPr>
          <t>Yirviel Somé:</t>
        </r>
        <r>
          <rPr>
            <sz val="9"/>
            <color indexed="81"/>
            <rFont val="Tahoma"/>
            <family val="2"/>
          </rPr>
          <t xml:space="preserve">
D&amp;A at 3.5% of revenue — in line with FY2025A ($98.3M on $2,758.0M = 3.6%), dominated by acquired-intangible amortization from Marcum; held flat as a share of revenue.</t>
        </r>
      </text>
    </comment>
    <comment ref="D19" authorId="0" shapeId="0" xr:uid="{24604763-AF58-4464-AA2F-4FD897370E34}">
      <text>
        <r>
          <rPr>
            <b/>
            <sz val="9"/>
            <color indexed="81"/>
            <rFont val="Tahoma"/>
            <family val="2"/>
          </rPr>
          <t>Yirviel Somé:</t>
        </r>
        <r>
          <rPr>
            <sz val="9"/>
            <color indexed="81"/>
            <rFont val="Tahoma"/>
            <family val="2"/>
          </rPr>
          <t xml:space="preserve">
Capex at 0.6% of revenue — asset-light professional services model; FY2025A capex was $17.0M on $2,758.0M revenue (0.6%).</t>
        </r>
      </text>
    </comment>
    <comment ref="B20" authorId="0" shapeId="0" xr:uid="{7D786645-2536-4E0A-9B5F-E74A0C8CB910}">
      <text>
        <r>
          <rPr>
            <b/>
            <sz val="9"/>
            <color indexed="81"/>
            <rFont val="Tahoma"/>
            <family val="2"/>
          </rPr>
          <t>SUPERSEDED — THIS ROW NO LONGER FEEDS THE MODEL. Retained only so the old assumption can be compared with the audited build that replaced it.
WHAT IT WAS. An 8.0%-of-Δrevenue judgement plug for incremental net working capital. It was flagged in review as the weakest assumption in the model: unsourced, not derived from any balance sheet, and feeding free cash flow and therefore the returns directly.
WHAT REPLACED IT. Section 4 of this tab (rows 46–72) now builds operating net working capital from the audited FY2025A consolidated balance sheet filed with the SEC on 26 February 2026 — receivables of $556.0M on 73.6 days DSO, other current assets of $79.7M, payables of $90.9M, accrued personnel costs of $197.5M and other current liabilities of $68.3M, giving operating NWC of $278.9M, or 10.1% of FY2025A revenue. Row 31 now reads the change in that balance.
OUTCOME OF THE COMPARISON. The audited build implies 10.1% of incremental revenue against the 8.0% assumed here — so the plug was directionally right but 210bps too generous, worth roughly $2.9M of free cash flow a year at the FY2026E revenue increment. The model is now slightly more conservative and, more importantly, the assumption is sourced and each driver can be flexed on its own.
EXCLUDED from the build, deliberately: cash and restricted cash, funds held for clients and the offsetting client fund obligations (payroll pass-through), income taxes payable (modelled in Tab 4), contingent purchase-price liabilities (M&amp;A earn-outs), lease liabilities (debt-like) and short-term debt.</t>
        </r>
      </text>
    </comment>
    <comment ref="D20" authorId="0" shapeId="0" xr:uid="{D6BAAD4D-273A-4844-A892-5C79340A90AC}">
      <text>
        <r>
          <rPr>
            <b/>
            <sz val="9"/>
            <color indexed="81"/>
            <rFont val="Tahoma"/>
            <family val="2"/>
          </rPr>
          <t>Yirviel Somé:</t>
        </r>
        <r>
          <rPr>
            <sz val="9"/>
            <color indexed="81"/>
            <rFont val="Tahoma"/>
            <family val="2"/>
          </rPr>
          <t xml:space="preserve">
Incremental NWC at 8.0% of the change in revenue — growth in unbilled/receivables net of accrued compensation; a modest working-capital drag typical of a services firm with strong billing discipline.</t>
        </r>
      </text>
    </comment>
    <comment ref="C48" authorId="0" shapeId="0" xr:uid="{B2DBC210-B4A2-434F-B9D0-8672A8F9FE58}">
      <text>
        <r>
          <rPr>
            <b/>
            <sz val="9"/>
            <color indexed="81"/>
            <rFont val="Tahoma"/>
            <family val="2"/>
          </rPr>
          <t>Yirviel Somé:</t>
        </r>
        <r>
          <rPr>
            <sz val="9"/>
            <color indexed="81"/>
            <rFont val="Tahoma"/>
            <family val="2"/>
          </rPr>
          <t xml:space="preserve">
Source: SEC EDGAR, CBIZ, Inc. FY2025 Form 10-K / Annual Report, audited consolidated balance sheet at 31 December 2025, https://www.sec.gov/Archives/edgar/data/944148/000119312526140260/d12997dars.pdf
Accounts receivable, net: $555,995 thousand (FY2024: $534,858 thousand).</t>
        </r>
      </text>
    </comment>
    <comment ref="C49" authorId="0" shapeId="0" xr:uid="{841878FB-B04C-4BB6-9CBA-F5469994385A}">
      <text>
        <r>
          <rPr>
            <b/>
            <sz val="9"/>
            <color indexed="81"/>
            <rFont val="Tahoma"/>
            <family val="2"/>
          </rPr>
          <t>Yirviel Somé:</t>
        </r>
        <r>
          <rPr>
            <sz val="9"/>
            <color indexed="81"/>
            <rFont val="Tahoma"/>
            <family val="2"/>
          </rPr>
          <t xml:space="preserve">
Source: SEC EDGAR, CBIZ, Inc. FY2025 Form 10-K / Annual Report, audited consolidated balance sheet at 31 December 2025, https://www.sec.gov/Archives/edgar/data/944148/000119312526140260/d12997dars.pdf
Other current assets: $79,693 thousand (FY2024: $72,528 thousand).</t>
        </r>
      </text>
    </comment>
    <comment ref="C50" authorId="0" shapeId="0" xr:uid="{B1786294-0021-485E-AE1D-460A8C1B1A73}">
      <text>
        <r>
          <rPr>
            <b/>
            <sz val="9"/>
            <color indexed="81"/>
            <rFont val="Tahoma"/>
            <family val="2"/>
          </rPr>
          <t>Yirviel Somé:</t>
        </r>
        <r>
          <rPr>
            <sz val="9"/>
            <color indexed="81"/>
            <rFont val="Tahoma"/>
            <family val="2"/>
          </rPr>
          <t xml:space="preserve">
Source: SEC EDGAR, CBIZ, Inc. FY2025 Form 10-K / Annual Report, audited consolidated balance sheet at 31 December 2025, https://www.sec.gov/Archives/edgar/data/944148/000119312526140260/d12997dars.pdf
Accounts payable: $90,934 thousand (FY2024: $90,646 thousand).</t>
        </r>
      </text>
    </comment>
    <comment ref="C51" authorId="0" shapeId="0" xr:uid="{DC7EC65A-388E-40D0-AA92-B76692628C3B}">
      <text>
        <r>
          <rPr>
            <b/>
            <sz val="9"/>
            <color indexed="81"/>
            <rFont val="Tahoma"/>
            <family val="2"/>
          </rPr>
          <t>Yirviel Somé:</t>
        </r>
        <r>
          <rPr>
            <sz val="9"/>
            <color indexed="81"/>
            <rFont val="Tahoma"/>
            <family val="2"/>
          </rPr>
          <t xml:space="preserve">
Source: SEC EDGAR, CBIZ, Inc. FY2025 Form 10-K / Annual Report, audited consolidated balance sheet at 31 December 2025, https://www.sec.gov/Archives/edgar/data/944148/000119312526140260/d12997dars.pdf
Accrued personnel costs: $197,534 thousand (FY2024: $172,759 thousand). The largest operating liability — accrued compensation and bonus — and the natural partial offset to receivable growth in a people business.</t>
        </r>
      </text>
    </comment>
    <comment ref="C52" authorId="0" shapeId="0" xr:uid="{4B8203CF-B30E-4214-BE26-60327FE19DDE}">
      <text>
        <r>
          <rPr>
            <b/>
            <sz val="9"/>
            <color indexed="81"/>
            <rFont val="Tahoma"/>
            <family val="2"/>
          </rPr>
          <t>Yirviel Somé:</t>
        </r>
        <r>
          <rPr>
            <sz val="9"/>
            <color indexed="81"/>
            <rFont val="Tahoma"/>
            <family val="2"/>
          </rPr>
          <t xml:space="preserve">
Source: SEC EDGAR, CBIZ, Inc. FY2025 Form 10-K / Annual Report, audited consolidated balance sheet at 31 December 2025, https://www.sec.gov/Archives/edgar/data/944148/000119312526140260/d12997dars.pdf
Other current liabilities: $68,299 thousand (FY2024: $78,579 thousand).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Yirviel Somé</author>
  </authors>
  <commentList>
    <comment ref="C6" authorId="0" shapeId="0" xr:uid="{BB323616-5F64-4FF9-964B-4968F9928583}">
      <text>
        <r>
          <rPr>
            <b/>
            <sz val="9"/>
            <color indexed="81"/>
            <rFont val="Tahoma"/>
            <family val="2"/>
          </rPr>
          <t>SOFR base rate of 4.00% — floating-rate benchmark for the new Term Loan B. Blue input: flex this to test a higher/lower rate environment over the 5-year hold. Held flat across FY2026E–FY2030E (no forward curve modelled).
MARKET CALIBRATION — benchmarked, NOT disclosed. The actual commitment-letter base rate and pricing will not be public until the merger proxy (PREM14A/DEFM14A); treat this as an analyst calibration to observable 2026 loan-market terms.
Observable 2026-vintage anchors:
· NGL Energy Partners 2026 Term Loan B — borrowings carried SOFR of 3.68% plus a 350bps margin at 31 March 2026.
  Source: SEC EDGAR, NGL Energy Partners LP Form 10-K FY2026,
  https://www.sec.gov/Archives/edgar/data/0001504461/000150446126000012/ngl-20260331.htm
· RVR Dealership Holdings 2026 Term Loan B — 1M Term SOFR + 450bps, all-in 8.18%, maturing 02/09/33, implying 1M term SOFR of roughly 3.68%.
  Source: SEC EDGAR, JNL Series Trust Form NPORT-P Q1 2026,
  https://www.sec.gov/Archives/edgar/data/0000933691/000119312526244836/jnlseriestrustpartf-2026q1.htm
READ-ACROSS: at ~3.68% observed, the 4.00% used here is roughly 30bps wide of spot, and holding it flat for five years embeds no rate relief. Both choices push modelled interest UP and IRR DOWN, so the base case is conservative on funding cost. Deal announced 28 Jul 2026; the citable observations above are Q1-2026 vintage, so spot term SOFR at signing may differ.</t>
        </r>
      </text>
    </comment>
    <comment ref="C7" authorId="0" shapeId="0" xr:uid="{357B4A8B-FBC6-40C3-893C-BBE6584AFC62}">
      <text>
        <r>
          <rPr>
            <b/>
            <sz val="9"/>
            <color indexed="81"/>
            <rFont val="Tahoma"/>
            <family val="2"/>
          </rPr>
          <t>Term Loan B credit spread of S+450bps — market-standard for a ~5.5x levered broadly-syndicated / private-credit take-private of a recurring-revenue professional services platform. Blue input.
MARKET CALIBRATION — benchmarked, NOT disclosed. Actual commitment-letter spread, OID and flex terms will not be public until the merger proxy (PREM14A/DEFM14A).
Direct comp — an actual 2026-vintage TLB priced at exactly this spread:
· RVR Dealership Holdings 2026 Term Loan B — 1M Term SOFR + 450bps, all-in 8.18%, maturing 02/09/33.
  Source: SEC EDGAR, JNL Series Trust Form NPORT-P Q1 2026,
  https://www.sec.gov/Archives/edgar/data/0000933691/000119312526244836/jnlseriestrustpartf-2026q1.htm
Market context:
· Leveraged loan spreads for BB and B rated corporates narrowed through 2025 and ended the year near their lows for this century; in the 2026 survey 50% of respondents expected yields to widen slightly and 7% materially, versus 43% expecting contraction — i.e. limited room for further tightening.
  Source: FTI Consulting, 2026 Leveraged Loan Market Survey,
  https://www.fticonsulting.com/insights/reports/2026-leveraged-loan-market-survey
· The average yield to maturity for refinancing institutional term loans via syndication was 6.7% in 2026, down from 7.4% in 2025 and 8.6% in 2024, but still above all years from 2011 to 2022.
  Source: PitchBook | LCD,
  https://pitchbook.com/news/articles/leveraged-loan-issuers-lean-in-to-amend-and-extend-deals-to-push-back-maturities
READ-ACROSS: the 6.7% LCD refi yield is a market-wide average skewed toward higher-rated and already-seasoned credits. A new-money, B-rated, ~$2.46bn sponsor take-private TLB should price wide of that average, and S+450 over a 3.7–4.0% base gets to an 8.2–8.5% all-in — consistent with the observed RVR print. The spread is therefore a defensible mid-market quote rather than an aggressive one; a 25–50bps flex would be the obvious stress case (see the C17 circularity switch and the sensitivity work on Tab 5).</t>
        </r>
      </text>
    </comment>
    <comment ref="C9" authorId="0" shapeId="0" xr:uid="{BEF34F3B-E231-4AF6-9232-FF8082F977F2}">
      <text>
        <r>
          <rPr>
            <b/>
            <sz val="9"/>
            <color indexed="81"/>
            <rFont val="Tahoma"/>
            <family val="2"/>
          </rPr>
          <t>Yirviel Somé:</t>
        </r>
        <r>
          <rPr>
            <sz val="9"/>
            <color indexed="81"/>
            <rFont val="Tahoma"/>
            <family val="2"/>
          </rPr>
          <t xml:space="preserve">
$600.0M revolver capacity — mirrors CBIZ's existing 2024 Credit Facilities revolver ('Transaction Data' C29 note). Undrawn at close per '2 · Sources &amp; Uses' C9, so it is a liquidity backstop rather than a funding source in the base case.</t>
        </r>
      </text>
    </comment>
    <comment ref="C10" authorId="0" shapeId="0" xr:uid="{84E5CB53-5177-4128-A8B8-42AF85D36260}">
      <text>
        <r>
          <rPr>
            <b/>
            <sz val="9"/>
            <color indexed="81"/>
            <rFont val="Tahoma"/>
            <family val="2"/>
          </rPr>
          <t>Yirviel Somé:</t>
        </r>
        <r>
          <rPr>
            <sz val="9"/>
            <color indexed="81"/>
            <rFont val="Tahoma"/>
            <family val="2"/>
          </rPr>
          <t xml:space="preserve">
50bps commitment fee charged on the UNDRAWN portion of the revolver. With the facility fully undrawn in the base case this is a flat $3.0M/yr cash cost (0.5% × $600.0M). Blue input.</t>
        </r>
      </text>
    </comment>
    <comment ref="C11" authorId="0" shapeId="0" xr:uid="{F262711D-D34F-4235-8DD3-DE9C7CEEDE5F}">
      <text>
        <r>
          <rPr>
            <b/>
            <sz val="9"/>
            <color indexed="81"/>
            <rFont val="Tahoma"/>
            <family val="2"/>
          </rPr>
          <t>Yirviel Somé:</t>
        </r>
        <r>
          <rPr>
            <sz val="9"/>
            <color indexed="81"/>
            <rFont val="Tahoma"/>
            <family val="2"/>
          </rPr>
          <t xml:space="preserve">
S+400bps on any drawn revolver balance — inside the TLB spread, as revolvers price tighter. Memo only: the revolver stays undrawn in the base case, so drawn interest is $0.0M every year.</t>
        </r>
      </text>
    </comment>
    <comment ref="C12" authorId="0" shapeId="0" xr:uid="{F0BF238B-DA4B-4281-85DE-9F8570FB7D7E}">
      <text>
        <r>
          <rPr>
            <b/>
            <sz val="9"/>
            <color indexed="81"/>
            <rFont val="Tahoma"/>
            <family val="2"/>
          </rPr>
          <t>Yirviel Somé:</t>
        </r>
        <r>
          <rPr>
            <sz val="9"/>
            <color indexed="81"/>
            <rFont val="Tahoma"/>
            <family val="2"/>
          </rPr>
          <t xml:space="preserve">
1.0% of the ORIGINAL Term Loan principal per year — standard TLB amortization. Flat dollar amount ($24.6M/yr = 1.0% × $2,458.0M), NOT a % of the declining balance.</t>
        </r>
      </text>
    </comment>
    <comment ref="C13" authorId="0" shapeId="0" xr:uid="{4985BF4E-1C84-42A6-B3DF-91654EE443CC}">
      <text>
        <r>
          <rPr>
            <b/>
            <sz val="9"/>
            <color indexed="81"/>
            <rFont val="Tahoma"/>
            <family val="2"/>
          </rPr>
          <t>Cash sweep percentage — FLAT MODE ONLY. Blue input.
This cell is DORMANT in the default configuration. It is used only when the sweep-mode toggle in C84 is set to 0. With C84 = 1 (the default), the sweep percentage is re-tested every year against that year's opening net-leverage ratio using the tier table in section 8 (rows 86-88), and this 100% figure is ignored.
History: this cell used to drive the sweep in every year unconditionally, applying 100% of excess free cash flow to optional Term Loan prepayment. It is retained at 100% so that flipping C84 to 0 reproduces the pre-upgrade model exactly, which is what makes the two modes directly comparable.
The cap in row 33 applies in both modes: mandatory amortization plus sweep can never exceed the opening Term Loan balance.</t>
        </r>
      </text>
    </comment>
    <comment ref="C14" authorId="0" shapeId="0" xr:uid="{9E8F9B7B-0AE9-4A12-81DC-B10198A133B6}">
      <text>
        <r>
          <rPr>
            <b/>
            <sz val="9"/>
            <color indexed="81"/>
            <rFont val="Tahoma"/>
            <family val="2"/>
          </rPr>
          <t>Yirviel Somé:</t>
        </r>
        <r>
          <rPr>
            <sz val="9"/>
            <color indexed="81"/>
            <rFont val="Tahoma"/>
            <family val="2"/>
          </rPr>
          <t xml:space="preserve">
Link — 'Transaction Data' C26 (28.5%, CBIZ 2026 outlook effective tax rate). Applied to MAX(EBT, 0): no tax benefit is recognised on a loss year.</t>
        </r>
      </text>
    </comment>
    <comment ref="C15" authorId="0" shapeId="0" xr:uid="{42AFE429-7250-488D-B57F-C3D7075B9139}">
      <text>
        <r>
          <rPr>
            <b/>
            <sz val="9"/>
            <color indexed="81"/>
            <rFont val="Tahoma"/>
            <family val="2"/>
          </rPr>
          <t>Yirviel Somé:</t>
        </r>
        <r>
          <rPr>
            <sz val="9"/>
            <color indexed="81"/>
            <rFont val="Tahoma"/>
            <family val="2"/>
          </rPr>
          <t xml:space="preserve">
Link — 'Transaction Data' C31 ($18.3M unrestricted cash). Retained on the balance sheet at close because '2 · Sources &amp; Uses' C10 uses $0.0M of target cash to fund the transaction.</t>
        </r>
      </text>
    </comment>
    <comment ref="C16" authorId="0" shapeId="0" xr:uid="{83F744C3-B700-4965-8CCC-BB72BAA151BC}">
      <text>
        <r>
          <rPr>
            <b/>
            <sz val="9"/>
            <color indexed="81"/>
            <rFont val="Tahoma"/>
            <family val="2"/>
          </rPr>
          <t>Yirviel Somé:</t>
        </r>
        <r>
          <rPr>
            <sz val="9"/>
            <color indexed="81"/>
            <rFont val="Tahoma"/>
            <family val="2"/>
          </rPr>
          <t xml:space="preserve">
Link — '2 · Sources &amp; Uses' C20 ($2,458.0M) = 5.5x entry leverage × FY2025A Adj. EBITDA of $446.9M. This is the amortization base and the FY2026E opening balance.</t>
        </r>
      </text>
    </comment>
    <comment ref="C17" authorId="0" shapeId="0" xr:uid="{7AEB2C3C-5D06-4BF2-839C-F38BAC6D4E2A}">
      <text>
        <r>
          <rPr>
            <b/>
            <sz val="9"/>
            <color indexed="81"/>
            <rFont val="Tahoma"/>
            <family val="2"/>
          </rPr>
          <t>Yirviel Somé:</t>
        </r>
        <r>
          <rPr>
            <sz val="9"/>
            <color indexed="81"/>
            <rFont val="Tahoma"/>
            <family val="2"/>
          </rPr>
          <t xml:space="preserve">
CIRCULARITY SWITCH — controls the cash-interest convention on rows 20, 21 and 22.
1 = ON  (production convention)
    Term Loan interest = all-in rate × AVERAGE(opening balance, closing balance).
    Revolver interest and the commitment fee likewise use the average drawn / average undrawn balance.
    This is deliberately CIRCULAR: interest -&gt; EBT -&gt; cash taxes -&gt; free cash flow -&gt; cash sweep -&gt; closing
    balance (row 41) -&gt; back into interest. Excel resolves it by iteration, which is why iterative
    calculation is enabled on this workbook (max 100 iterations, max change 0.001).
0 = OFF  (circularity breaker)
    Interest reverts to all-in rate × OPENING balance, exactly the pre-upgrade convention. The dependency
    loop is cut, so every year solves in one pass with no iteration required.
HOW TO USE THE BREAKER: if the model ever errors into a circular-reference cascade (#REF! or zeros
propagating through rows 20-41, typically after a bad paste, a deleted row, or opening the file on a
machine where iterative calculation is off), flip this cell to 0. The sheet will resolve immediately on the
opening-balance convention. Then flip it back to 1 and press F9 — the model re-converges on the
average-balance answer from a clean starting point.
If it will not hold at 1, iterative calculation has been switched off: File &gt; Options &gt; Formulas &gt; check
'Enable iterative calculation', set Maximum Iterations 100 and Maximum Change 0.001.
CONVENTION IMPACT: average-balance interest is lower than opening-balance interest in a de-levering
year, because the balance falls through the year. That raises free cash flow, accelerates the sweep and
reduces exit net debt, so reported IRR is modestly HIGHER than under the old convention. Average
balance is the standard production treatment; opening balance was the no-iteration simplification.</t>
        </r>
      </text>
    </comment>
    <comment ref="C69" authorId="0" shapeId="0" xr:uid="{597DADE4-C100-4CE0-ACB0-BE2FA494FE4E}">
      <text>
        <r>
          <rPr>
            <b/>
            <sz val="9"/>
            <color indexed="81"/>
            <rFont val="Tahoma"/>
            <family val="2"/>
          </rPr>
          <t>Yirviel Somé:</t>
        </r>
        <r>
          <rPr>
            <sz val="9"/>
            <color indexed="81"/>
            <rFont val="Tahoma"/>
            <family val="2"/>
          </rPr>
          <t xml:space="preserve">
§163(j) business-interest limitation — 30% of adjusted taxable income (ATI). Blue input.
Post-TCJA, for tax years beginning after 31 Dec 2021 the 30%-of-ATI cap is computed on ATI WITHOUT a depreciation and amortization add-back (the temporary EBITDA-based definition expired for tax years beginning after 2021). ATI is therefore approximated here as EBIT (row 19), which is the standard modelling convention for a US corporate borrower with no material non-business income.
The CARES Act 50%-of-ATI relief applied only to 2019 and 2020 tax years and is not relevant to an FY2026E–FY2030E hold.
Flex this cell to test a statutory change (e.g. reinstatement of the EBITDA-based ATI definition would materially raise the cap and reduce cash taxes).</t>
        </r>
      </text>
    </comment>
    <comment ref="C74" authorId="0" shapeId="0" xr:uid="{FA080B53-8EF5-47F9-A91D-CA5AF368FFF2}">
      <text>
        <r>
          <rPr>
            <b/>
            <sz val="9"/>
            <color indexed="81"/>
            <rFont val="Tahoma"/>
            <family val="2"/>
          </rPr>
          <t>Yirviel Somé:</t>
        </r>
        <r>
          <rPr>
            <sz val="9"/>
            <color indexed="81"/>
            <rFont val="Tahoma"/>
            <family val="2"/>
          </rPr>
          <t xml:space="preserve">
FY2026E opening disallowed-interest carryforward = $0.0M. Blue input.
The LBO capital structure is put in place AT close, so there is no pre-transaction §163(j) disallowance to inherit: CBIZ standalone carried far less debt than the $2,458.0M Term Loan and its interest was comfortably inside 30% of ATI. Set this to a non-zero figure only if diligence identifies a disallowed-interest carryforward on the target's opening tax balance sheet (it would survive the transaction, subject to any §382 limitation on a change of control).</t>
        </r>
      </text>
    </comment>
    <comment ref="D74" authorId="0" shapeId="0" xr:uid="{63493E2D-4027-4BA9-A16B-3DF38E7915B8}">
      <text>
        <r>
          <rPr>
            <b/>
            <sz val="9"/>
            <color indexed="81"/>
            <rFont val="Tahoma"/>
            <family val="2"/>
          </rPr>
          <t>Opening disallowed-interest carryforward = prior-year closing balance (row 77). Under §163(j) disallowed business interest is carried forward indefinitely and is treated as business interest expense of the succeeding taxable year, pooled with that year's current interest against the same 30%-of-ATI cap.</t>
        </r>
      </text>
    </comment>
    <comment ref="E74" authorId="0" shapeId="0" xr:uid="{3EC32134-FED3-4349-BE10-B8720B42629F}">
      <text>
        <r>
          <rPr>
            <b/>
            <sz val="9"/>
            <color indexed="81"/>
            <rFont val="Tahoma"/>
            <family val="2"/>
          </rPr>
          <t>Opening disallowed-interest carryforward = prior-year closing balance (row 77). Under §163(j) disallowed business interest is carried forward indefinitely and is treated as business interest expense of the succeeding taxable year, pooled with that year's current interest against the same 30%-of-ATI cap.</t>
        </r>
      </text>
    </comment>
    <comment ref="F74" authorId="0" shapeId="0" xr:uid="{E4262367-FC6D-4B02-9244-389646F5E85F}">
      <text>
        <r>
          <rPr>
            <b/>
            <sz val="9"/>
            <color indexed="81"/>
            <rFont val="Tahoma"/>
            <family val="2"/>
          </rPr>
          <t>Opening disallowed-interest carryforward = prior-year closing balance (row 77). Under §163(j) disallowed business interest is carried forward indefinitely and is treated as business interest expense of the succeeding taxable year, pooled with that year's current interest against the same 30%-of-ATI cap.</t>
        </r>
      </text>
    </comment>
    <comment ref="G74" authorId="0" shapeId="0" xr:uid="{08D80BDD-7279-4599-9512-B14CE73FDB4F}">
      <text>
        <r>
          <rPr>
            <b/>
            <sz val="9"/>
            <color indexed="81"/>
            <rFont val="Tahoma"/>
            <family val="2"/>
          </rPr>
          <t>Opening disallowed-interest carryforward = prior-year closing balance (row 77). Under §163(j) disallowed business interest is carried forward indefinitely and is treated as business interest expense of the succeeding taxable year, pooled with that year's current interest against the same 30%-of-ATI cap. FY2030E is the first year current interest ($118.5M) falls below the cap ($146.8M), so $28.3M of the carryforward is finally absorbed; $190.0M remains unused at exit and is not valued in the returns bridge.</t>
        </r>
      </text>
    </comment>
    <comment ref="C84" authorId="0" shapeId="0" xr:uid="{356D762F-C47E-49D5-BA1B-119284F721C1}">
      <text>
        <r>
          <rPr>
            <b/>
            <sz val="9"/>
            <color indexed="81"/>
            <rFont val="Tahoma"/>
            <family val="2"/>
          </rPr>
          <t>Yirviel Somé:</t>
        </r>
        <r>
          <rPr>
            <sz val="9"/>
            <color indexed="81"/>
            <rFont val="Tahoma"/>
            <family val="2"/>
          </rPr>
          <t xml:space="preserve">
SWEEP MODE TOGGLE — blue input. Controls row 93, which drives the cash sweep in row 33.
1 = ON  (leverage step-down grid — production convention)
    The sweep percentage is re-tested EVERY YEAR against that year's OPENING net-leverage ratio
    (row 92) using the blue tier table in rows 86-88:
        opening net leverage  &gt;  4.50x   -&gt;  50% of excess cash flow
        opening net leverage  3.50x - 4.50x  -&gt;  25%
        opening net leverage  &lt;  3.50x   -&gt;  0%   (sweep switches off entirely)
    This is the standard excess-cash-flow (ECF) sweep construct in a leveraged credit agreement:
    the borrower buys back cash-retention flexibility as it de-levers.
0 = OFF  (flat sweep — pre-upgrade convention)
    Reverts to the single flat percentage in C13 (100%) applied in every year regardless of leverage,
    exactly as the model behaved before this upgrade. Use this to isolate the impact of the step-down.
WHAT THE STEP-DOWN DOES TO THE MODEL: at 100% the sweep absorbed all excess free cash flow and
closing cash stayed pinned at the $18.3M retained at close. Under the step-down, cash NO LONGER stays
flat — the un-swept portion drops to row 34 (net change in cash), accumulates through the cash
rollforward in rows 50-52 and reduces net debt as cash rather than as debt repayment. Net debt therefore
still de-levers, but through a growing cash balance instead of a shrinking Term Loan, which leaves gross
debt and hence CASH INTEREST materially higher. That is the primary driver of the IRR difference between
the two modes.
The cap in row 33 is preserved in both modes: mandatory amortization plus sweep can never exceed the
opening Term Loan balance.</t>
        </r>
      </text>
    </comment>
    <comment ref="C109" authorId="0" shapeId="0" xr:uid="{BB8DF19E-66B5-458A-BBF2-44EA278933AB}">
      <text>
        <r>
          <rPr>
            <b/>
            <sz val="9"/>
            <color indexed="81"/>
            <rFont val="Tahoma"/>
            <family val="2"/>
          </rPr>
          <t>Yirviel Somé:</t>
        </r>
        <r>
          <rPr>
            <sz val="9"/>
            <color indexed="81"/>
            <rFont val="Tahoma"/>
            <family val="2"/>
          </rPr>
          <t xml:space="preserve">
Blue input — 50bps below SOFR on operating cash balances.
A sponsor-owned borrower sweeps surplus cash into overnight deposits or a government money-market fund, which yield modestly BELOW the SOFR benchmark after bank spread and fund fees. 50bps is a conservative haircut; set it to 0.0% to earn SOFR flat, or widen it to test a lower-yielding treasury policy.
CONSERVATISM RETAINED: no yield curve is modelled and the rate is held flat with SOFR (C6) at 4.00% for the whole hold, so the deposit rate does not benefit from any reinvestment upside.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Yirviel Somé</author>
  </authors>
  <commentList>
    <comment ref="C6" authorId="0" shapeId="0" xr:uid="{447CEDA4-8B86-4DE0-9129-EFC28C919EB0}">
      <text>
        <r>
          <rPr>
            <b/>
            <sz val="9"/>
            <color indexed="81"/>
            <rFont val="Tahoma"/>
            <family val="2"/>
          </rPr>
          <t>HOLD PERIOD — no longer a hardcoded 5.0.
Green link to '4 · Debt Schedule &amp; FCF' C106 = (modelled exit date − modelled close date) ÷ 365 = 1,477 days ÷ 365 = 4.05 years.
WHY THIS CHANGED. The model used to annualise the sponsor's MOIC over 5.0 years while the debt schedule ran five FULL fiscal years against a calendar hold of only 4.05 years from a 15-Dec-2026 close. Two errors ran in opposite directions: a full year of FY2026E free cash flow and debt paydown was credited to a period before the equity was funded (flattering deleveraging), while the 5.0-year annualisation understated the return (penalising the IRR). The net of the two was an unexplained ~360bps gap between the headline MOIC^(1/n) IRR and the dated XIRR in row 86.
Both are now fixed at source. FY2026E is modelled as a 16-day STUB (section 9 of Tab 4 — the period factor in row 102 scales EBIT, cash interest, the commitment fee, D&amp;A, capex, ΔNWC and mandatory amortization), and this cell reads the actual calendar hold. The integrity check in Tab 4 C105 proves modelled days equal calendar days, and the check in D92 below proves MOIC^(1/n) now reconciles to the XIRR.
To re-time the deal, change the close or exit date on Tab 4 (C98 / C99) — the stub factor, this hold period, the XIRR and both sensitivity grids all re-solve together.</t>
        </r>
      </text>
    </comment>
    <comment ref="C7" authorId="0" shapeId="0" xr:uid="{4AAD53B8-1498-4408-A6C3-5DD13728CFC7}">
      <text>
        <r>
          <rPr>
            <b/>
            <sz val="9"/>
            <color indexed="81"/>
            <rFont val="Tahoma"/>
            <family val="2"/>
          </rPr>
          <t>Yirviel Somé:</t>
        </r>
        <r>
          <rPr>
            <sz val="9"/>
            <color indexed="81"/>
            <rFont val="Tahoma"/>
            <family val="2"/>
          </rPr>
          <t xml:space="preserve">
Exit multiple: 11.2x, set equal to the implied entry multiple ('Transaction Data' C54 = 11.2x). Multiple-neutral exit is the conservative base case — no multiple expansion is underwritten; all return comes from EBITDA growth and debt paydown.</t>
        </r>
      </text>
    </comment>
    <comment ref="B52" authorId="0" shapeId="0" xr:uid="{D027ADBB-359F-455C-8AE5-33DC1F734B52}">
      <text>
        <r>
          <rPr>
            <b/>
            <sz val="9"/>
            <color indexed="81"/>
            <rFont val="Tahoma"/>
            <family val="2"/>
          </rPr>
          <t>Yirviel Somé:</t>
        </r>
        <r>
          <rPr>
            <sz val="9"/>
            <color indexed="81"/>
            <rFont val="Tahoma"/>
            <family val="2"/>
          </rPr>
          <t xml:space="preserve">
Target IRR hurdle: 15% — low end of a large-cap sponsor's underwriting range for a stable, recurring-revenue services asset.</t>
        </r>
      </text>
    </comment>
    <comment ref="B53" authorId="0" shapeId="0" xr:uid="{B2AE9AFB-450F-465B-A9CD-5E0F0859ED0F}">
      <text>
        <r>
          <rPr>
            <b/>
            <sz val="9"/>
            <color indexed="81"/>
            <rFont val="Tahoma"/>
            <family val="2"/>
          </rPr>
          <t>Yirviel Somé:</t>
        </r>
        <r>
          <rPr>
            <sz val="9"/>
            <color indexed="81"/>
            <rFont val="Tahoma"/>
            <family val="2"/>
          </rPr>
          <t xml:space="preserve">
Target IRR hurdle: 20% — typical PE base-case underwriting hurdle.</t>
        </r>
      </text>
    </comment>
    <comment ref="B54" authorId="0" shapeId="0" xr:uid="{B78E9114-6E5F-41B3-B68E-EA952112769E}">
      <text>
        <r>
          <rPr>
            <b/>
            <sz val="9"/>
            <color indexed="81"/>
            <rFont val="Tahoma"/>
            <family val="2"/>
          </rPr>
          <t>Yirviel Somé:</t>
        </r>
        <r>
          <rPr>
            <sz val="9"/>
            <color indexed="81"/>
            <rFont val="Tahoma"/>
            <family val="2"/>
          </rPr>
          <t xml:space="preserve">
Target IRR hurdle: 25% — upside / IC-stretch case.</t>
        </r>
      </text>
    </comment>
    <comment ref="F55" authorId="0" shapeId="0" xr:uid="{35E50ECB-6C66-425D-9AE5-34E6F14301E7}">
      <text>
        <r>
          <rPr>
            <b/>
            <sz val="9"/>
            <color indexed="81"/>
            <rFont val="Tahoma"/>
            <family val="2"/>
          </rPr>
          <t>Yirviel Somé:</t>
        </r>
        <r>
          <rPr>
            <sz val="9"/>
            <color indexed="81"/>
            <rFont val="Tahoma"/>
            <family val="2"/>
          </rPr>
          <t xml:space="preserve">
BREAK-EVEN EXIT MULTIPLE — the exit EV/EBITDA at which the sponsor gets its money back and nothing more (1.0x MOIC, 0.0% IRR).
= (sponsor entry equity + exit net debt) ÷ exit-year Adj. EBITDA
= (C11 + C15) ÷ C12, built up across C55:E55 so each step is visible.
WHY NO MANAGEMENT-POOL GROSS-UP IS NEEDED HERE. Everywhere else in this section the required GROSS equity is grossed up for the incentive pool (column D). At exactly 1.0x MOIC no gross-up applies, and this is not an approximation — it is exact. The pool strikes at 100% of the sponsor's entry equity (C72), so at a 1.0x outcome the exit equity value equals the strike precisely, value created above the strike is zero, and the pool pays nothing. Column D therefore returns the same figure as column C on this row. If you change the strike basis in C72 to anything below 100%, the pool WOULD bite at break-even and column D will start grossing up automatically.
WHAT IT IS NOT: this is not a floor on value — it is the multiple at which the equity is exactly returned. Below it the sponsor loses money; a total wipe-out requires the exit EV to fall to the exit net debt alone, i.e. an exit multiple of exit net debt ÷ exit EBITDA.
SCENARIO-SENSITIVE: both inputs move with the operating-case toggle on Tab 3. A weaker case means less debt paydown (higher exit net debt) AND a smaller exit-year EBITDA base, so the break-even multiple rises in exactly the cases where the achievable multiple is likely to be falling. Check it in Case 3 (STRESS) before relying on any downside protection.</t>
        </r>
      </text>
    </comment>
    <comment ref="C71" authorId="0" shapeId="0" xr:uid="{E5334B10-6DB0-4784-AAD2-202603E68030}">
      <text>
        <r>
          <rPr>
            <b/>
            <sz val="9"/>
            <color indexed="81"/>
            <rFont val="Tahoma"/>
            <family val="2"/>
          </rPr>
          <t>Yirviel Somé:</t>
        </r>
        <r>
          <rPr>
            <sz val="9"/>
            <color indexed="81"/>
            <rFont val="Tahoma"/>
            <family val="2"/>
          </rPr>
          <t xml:space="preserve">
Management incentive pool: 10% of value created above the strike. Blue input.
Sized at the low-to-mid end of the customary 8–12% sweet-equity / option pool for a large-cap sponsor take-private of an established, professionally managed public company — tighter than the 15–20% typical of a founder-led growth buyout, because CBIZ already has a full public-company management team and the equity cheque is large ($2,696.8M).
Structure modelled: a pure APPRECIATION pool (options / growth shares). Management participates only in value created ABOVE the strike in row 73, so a flat or down exit produces a zero payoff and no sponsor dilution — see row 75.
NOT modelled: vesting schedules and leaver provisions (assumed fully vested at exit), any ratchet or tiered pool that steps up on hitting an IRR/MOIC hurdle, co-invest by management alongside the sponsor at close, and the corporate tax deduction on option exercise. All of these would move the net figure; the first three reduce it, the last partly offsets.</t>
        </r>
      </text>
    </comment>
    <comment ref="C72" authorId="0" shapeId="0" xr:uid="{68A708F0-58D7-414B-B202-CCA70F3D22E9}">
      <text>
        <r>
          <rPr>
            <b/>
            <sz val="9"/>
            <color indexed="81"/>
            <rFont val="Tahoma"/>
            <family val="2"/>
          </rPr>
          <t>Yirviel Somé:</t>
        </r>
        <r>
          <rPr>
            <sz val="9"/>
            <color indexed="81"/>
            <rFont val="Tahoma"/>
            <family val="2"/>
          </rPr>
          <t xml:space="preserve">
Strike basis: 100.0% of the sponsor's entry equity value. Blue input.
At 100.0% the pool strikes exactly at the sponsor's entry cheque (C11 = $2,696.8M), so management is paid only on value created above the money the sponsor put in — the standard alignment for a sweet-equity pool.
Flex this cell to model:
· &gt;100% — a PREMIUM strike / hurdle (e.g. 150% = management earns nothing until the sponsor has made 1.5x), which is more sponsor-friendly and reduces dilution.
· &lt;100% — a DISCOUNTED strike (in-the-money at grant), more management-friendly and more dilutive.
· 0% — the pool becomes a straight percentage of total exit equity with no hurdle at all.
Expressed as a % of C11 rather than a hardcoded dollar strike so the hurdle stays live if the sources &amp; uses equity cheque changes.</t>
        </r>
      </text>
    </comment>
    <comment ref="C84" authorId="0" shapeId="0" xr:uid="{E56E0D46-BE07-4730-998D-F1BD99570C37}">
      <text>
        <r>
          <rPr>
            <b/>
            <sz val="9"/>
            <color indexed="81"/>
            <rFont val="Tahoma"/>
            <family val="2"/>
          </rPr>
          <t>CLOSE DATE — now a GREEN LINK to '4 · Debt Schedule &amp; FCF' C98, the single close-date input in the workbook. Edit it there, not here.
That cell also drives the FY2026E stub factor in Tab 4 row 102, so the date used to discount the cash flows and the date from which cash flows are recognised are guaranteed to be the same.
THE PREVIOUS CAVEAT ON THIS CELL IS RESOLVED. The model no longer recognises five full fiscal years against a 4.05-year hold: FY2026E is a 16-day stub period (Tab 4 section 9), and the hold period in C6 reads the actual calendar hold rather than a hardcoded 5.0 years. The XIRR in row 86 and the headline MOIC^(1/n) IRR in C20 therefore now agree — see the check in D92.</t>
        </r>
      </text>
    </comment>
    <comment ref="C85" authorId="0" shapeId="0" xr:uid="{CA08CBB0-CD4B-4D16-BA33-4240270E977D}">
      <text>
        <r>
          <rPr>
            <b/>
            <sz val="9"/>
            <color indexed="81"/>
            <rFont val="Tahoma"/>
            <family val="2"/>
          </rPr>
          <t>EXIT DATE — now a GREEN LINK to '4 · Debt Schedule &amp; FCF' C99 (31 December 2030, the last day of FY2030E). Edit it there.
Single-exit assumption unchanged: the model has exactly two cash flows — one equity outflow at close and one inflow at exit. There are no interim dividends, no dividend recap, no bolt-on equity injections and no management co-invest, so XIRR and MOIC^(1/n) now differ by nothing at all (row 92 reads zero) rather than by an unexplained timing gap.
If you later add interim flows (a recap, a follow-on investment), insert rows INSIDE the C84:D85 range so the XIRR arguments expand automatically, and expect row 91's cross-check to break by design — at that point MOIC^(1/n) is no longer a valid approximation of IRR.</t>
        </r>
      </text>
    </comment>
  </commentList>
</comments>
</file>

<file path=xl/sharedStrings.xml><?xml version="1.0" encoding="utf-8"?>
<sst xmlns="http://schemas.openxmlformats.org/spreadsheetml/2006/main" count="793" uniqueCount="626">
  <si>
    <t>CBIZ, Inc.  —  Grant Thornton Advisors LBO</t>
  </si>
  <si>
    <t>Tab 1 — Transaction &amp; Source Data   |   US$ in millions unless noted   |   Announced 28 Jul 2026</t>
  </si>
  <si>
    <t>Legend:  BLUE = hardcoded input taken directly from a filing   ·   BLACK = live formula (recalculates)   ·   hover cells with a red mark for exact source</t>
  </si>
  <si>
    <t>Item</t>
  </si>
  <si>
    <t>Value</t>
  </si>
  <si>
    <t>Source</t>
  </si>
  <si>
    <t>1.  Transaction Terms</t>
  </si>
  <si>
    <t>Offer price per share (all-cash)</t>
  </si>
  <si>
    <t>Merger 8-K (28 Jul 2026)</t>
  </si>
  <si>
    <t>Announced enterprise value</t>
  </si>
  <si>
    <t>Premium to 30-day VWAP</t>
  </si>
  <si>
    <t>Premium to last close</t>
  </si>
  <si>
    <t>GT/CBIZ press release</t>
  </si>
  <si>
    <t>Committed financing to Parent (equity + debt)</t>
  </si>
  <si>
    <t>DEFA14A (29 Jul 2026)</t>
  </si>
  <si>
    <t>Company termination fee</t>
  </si>
  <si>
    <t>Consideration / structure</t>
  </si>
  <si>
    <t>All-cash take-private</t>
  </si>
  <si>
    <t>Go-shop period ends</t>
  </si>
  <si>
    <t>27 Aug 2026</t>
  </si>
  <si>
    <t>Expected close</t>
  </si>
  <si>
    <t>Q4 2026</t>
  </si>
  <si>
    <t>2.  Target Financials — FY2025 (year ended 31 Dec 2025)</t>
  </si>
  <si>
    <t>Total revenue</t>
  </si>
  <si>
    <t>CBIZ 10-K FY2025 (EDGAR)</t>
  </si>
  <si>
    <t>Adjusted EBITDA (non-GAAP)</t>
  </si>
  <si>
    <t>CBIZ Q4/FY2025 results</t>
  </si>
  <si>
    <t>GAAP operating income</t>
  </si>
  <si>
    <t>Depreciation &amp; amortization</t>
  </si>
  <si>
    <t>Interest expense</t>
  </si>
  <si>
    <t>Net income (GAAP)</t>
  </si>
  <si>
    <t>Operating cash flow</t>
  </si>
  <si>
    <t>Free cash flow</t>
  </si>
  <si>
    <t>Effective tax rate (2026 outlook)</t>
  </si>
  <si>
    <t>3.  Capitalization &amp; Net Debt (as of 31 Dec 2025)</t>
  </si>
  <si>
    <t>Gross debt — Term Loan + Revolver (principal)</t>
  </si>
  <si>
    <t>Debt carrying value (net of issuance costs)</t>
  </si>
  <si>
    <t>Cash &amp; cash equivalents (unrestricted)</t>
  </si>
  <si>
    <t>Restricted cash  (excluded from net debt)</t>
  </si>
  <si>
    <t>Funds held for clients  (excluded — pass-through)</t>
  </si>
  <si>
    <t>Net debt  =  gross debt − unrestricted cash</t>
  </si>
  <si>
    <t>Formula</t>
  </si>
  <si>
    <t>4.  Share Count — the reconciliation issue</t>
  </si>
  <si>
    <t>Basic shares out (10-K cover, 20 Feb 2026)</t>
  </si>
  <si>
    <t>Shares outstanding (balance sheet, 31 Dec 2025)</t>
  </si>
  <si>
    <t>Diluted weighted-avg shares (FY2025)</t>
  </si>
  <si>
    <t>Fully diluted shares (2026 outlook)</t>
  </si>
  <si>
    <t>5.  Entry Valuation Reconciliation  (anchored on announced $5.0bn EV)</t>
  </si>
  <si>
    <t>linked</t>
  </si>
  <si>
    <t>Less: net debt</t>
  </si>
  <si>
    <t>Implied equity value</t>
  </si>
  <si>
    <t>÷ Offer price per share</t>
  </si>
  <si>
    <t>Implied fully diluted shares (M)</t>
  </si>
  <si>
    <t>Cross-check — equity value on basic 50.07M shares</t>
  </si>
  <si>
    <t>Cross-check — equity value on 54.38M B/S shares</t>
  </si>
  <si>
    <t>6.  Implied Entry Multiples  (sanity check on $5.0bn)</t>
  </si>
  <si>
    <t>EV / FY2025 Revenue</t>
  </si>
  <si>
    <t>EV / FY2025 Adjusted EBITDA</t>
  </si>
  <si>
    <t>Note: The $5.0bn EV reconciles to ~64.5M fully diluted shares at $55 — consistent with CBIZ's ~63M diluted base (incl. Marcum deferred stock consideration), NOT the 50M basic cover figure. Exact option/RSU/Marcum-share treatment to be confirmed in the merger proxy (PREM14A/DEFM14A).</t>
  </si>
  <si>
    <t>CBIZ, Inc. (NYSE: CBZ)  —  Take-Private by Grant Thornton Advisors / New Mountain Capital</t>
  </si>
  <si>
    <t>Tab 1 — Transaction Overview  |  All-cash acquisition at $55.00 per share, $5.0bn enterprise value  |  US$ in millions unless noted  |  Announced 28 Jul 2026</t>
  </si>
  <si>
    <t>Legend:  BLUE = hardcoded input   ·   BLACK = live formula   ·   GREEN = link to "Transaction Data" tab.  All figures as-announced; no ability-to-pay solve on this page.</t>
  </si>
  <si>
    <t>1.  Transaction Summary</t>
  </si>
  <si>
    <t>Link — Transaction Data C7</t>
  </si>
  <si>
    <t>Link — Transaction Data C13</t>
  </si>
  <si>
    <t>Link — Transaction Data C8</t>
  </si>
  <si>
    <t>Link — Transaction Data C11</t>
  </si>
  <si>
    <t>Link — Transaction Data C15</t>
  </si>
  <si>
    <t>Link — Transaction Data C14</t>
  </si>
  <si>
    <t>2.  Entry Valuation  —  EV → net debt → implied equity → implied fully diluted shares</t>
  </si>
  <si>
    <t>Less: net debt (gross debt less unrestricted cash)</t>
  </si>
  <si>
    <t>Link — Transaction Data C34, sign-flipped</t>
  </si>
  <si>
    <t>=  Implied equity value</t>
  </si>
  <si>
    <t>÷  Offer price per share</t>
  </si>
  <si>
    <t>=  Implied fully diluted shares (M)</t>
  </si>
  <si>
    <t>Memo: equity value at 50.07M basic shares (10-K cover)</t>
  </si>
  <si>
    <t>Cross-check — understates vs $5.0bn EV</t>
  </si>
  <si>
    <t>Memo: equity value at 54.38M balance-sheet shares</t>
  </si>
  <si>
    <t>3.  Implied Entry Multiples  (on announced $5.0bn EV)</t>
  </si>
  <si>
    <t>EV / FY2025 total revenue</t>
  </si>
  <si>
    <t>Revenue $2,758.0M — Transaction Data C18</t>
  </si>
  <si>
    <t>Adj. EBITDA $446.9M — Transaction Data C19</t>
  </si>
  <si>
    <t>EV / FY2025 GAAP operating income</t>
  </si>
  <si>
    <t>Operating income $234.0M — Transaction Data C20</t>
  </si>
  <si>
    <t>4.  Premium Analysis</t>
  </si>
  <si>
    <t>Offer price per share</t>
  </si>
  <si>
    <t>Implied undisturbed 30-day VWAP  —  derived; confirm vs merger proxy</t>
  </si>
  <si>
    <t>Back-solved from offer ÷ (1 + 54.0% premium)</t>
  </si>
  <si>
    <t>Implied last close  —  derived; confirm vs merger proxy</t>
  </si>
  <si>
    <t>Back-solved from offer ÷ (1 + 17.8% premium)</t>
  </si>
  <si>
    <t>Link — Transaction Data C9</t>
  </si>
  <si>
    <t>Link — Transaction Data C10</t>
  </si>
  <si>
    <t>Note: This page is as-announced — the $55.00 offer and $5.0bn EV are sponsor-set facts. The implied 64.5M fully diluted share count (vs 50.07M basic / 54.38M balance-sheet) reflects Marcum deferred stock consideration; exact option/RSU treatment to be confirmed in the merger proxy (PREM14A/DEFM14A). Sources &amp; uses, operating model, debt schedule and returns follow on later tabs.</t>
  </si>
  <si>
    <t>Tab 2 — Sources &amp; Uses  |  As-announced take-private; new debt sized off leverage, sponsor equity is the plug  |  US$ in millions unless noted</t>
  </si>
  <si>
    <t>Legend:  BLUE = hardcoded assumption (lever)   ·   BLACK = live formula   ·   GREEN = link to "Transaction Data" / "1 · Transaction Overview".  The $5.2bn committed financing is a validation check, not an input.</t>
  </si>
  <si>
    <t>1.  Assumptions  —  transaction levers (change these)</t>
  </si>
  <si>
    <t>Basis / comment</t>
  </si>
  <si>
    <t>Entry leverage  (× FY2025 Adj. EBITDA)</t>
  </si>
  <si>
    <t>Financing fees  (% of new funded debt)</t>
  </si>
  <si>
    <t>Blue input — applied to funded debt only</t>
  </si>
  <si>
    <t>Advisory &amp; other transaction fees  (% of EV)</t>
  </si>
  <si>
    <t>Blue input — expensed at close, funded in Uses</t>
  </si>
  <si>
    <t>Revolver drawn at close</t>
  </si>
  <si>
    <t>Blue input — counted as funded debt for fee purposes</t>
  </si>
  <si>
    <t>Target balance-sheet cash used to fund  (else retained)</t>
  </si>
  <si>
    <t>Blue input — only $18.3M unrestricted cash available (Transaction Data C31)</t>
  </si>
  <si>
    <t>2.  Uses of Funds</t>
  </si>
  <si>
    <t>$M</t>
  </si>
  <si>
    <t>Purchase of CBIZ equity  (implied equity value @ $55.00/sh)</t>
  </si>
  <si>
    <t>Link — '1 · Transaction Overview' C16 (EV less net debt)</t>
  </si>
  <si>
    <t>Repay existing debt  (Term Loan + Revolver, gross principal)</t>
  </si>
  <si>
    <t>Link — 'Transaction Data' C29; change of control triggers repayment</t>
  </si>
  <si>
    <t>Financing fees  (OID + arrangement)</t>
  </si>
  <si>
    <t>= financing fee % × new funded debt (Term Loan + revolver drawn)</t>
  </si>
  <si>
    <t>Advisory &amp; other transaction fees</t>
  </si>
  <si>
    <t>= advisory fee % × announced EV ('Transaction Data' C8, $5,000.0M)</t>
  </si>
  <si>
    <t>=  TOTAL USES</t>
  </si>
  <si>
    <t>Formula — sum of uses</t>
  </si>
  <si>
    <t>3.  Sources of Funds</t>
  </si>
  <si>
    <t>New Term Loan  (sized off leverage)</t>
  </si>
  <si>
    <t>= entry leverage × FY2025 Adj. EBITDA ('Transaction Data' C19, $446.9M)</t>
  </si>
  <si>
    <t>= assumption C9 (undrawn at close)</t>
  </si>
  <si>
    <t>Target balance-sheet cash used</t>
  </si>
  <si>
    <t>= assumption C10; memo: only $18.3M unrestricted cash available ('Transaction Data' C31)</t>
  </si>
  <si>
    <t>Sponsor equity — New Mountain Capital  (PLUG)</t>
  </si>
  <si>
    <t>Plug = Total Uses less Term Loan, revolver and target cash</t>
  </si>
  <si>
    <t>=  TOTAL SOURCES</t>
  </si>
  <si>
    <t>Formula — sum of sources</t>
  </si>
  <si>
    <t>4.  Checks &amp; Memo</t>
  </si>
  <si>
    <t>Balance check:  Total Sources − Total Uses  (must = 0)</t>
  </si>
  <si>
    <t>Formula — turns red if the model does not balance</t>
  </si>
  <si>
    <t>New funded debt ÷ FY2025 Adj. EBITDA</t>
  </si>
  <si>
    <t>Ties back to the entry leverage input in C6</t>
  </si>
  <si>
    <t>Sponsor equity as % of total sources</t>
  </si>
  <si>
    <t>Equity cheque as a share of the capital structure</t>
  </si>
  <si>
    <t>Total financing required  (new debt + sponsor equity)</t>
  </si>
  <si>
    <t>Excludes target cash used (not an external financing source)</t>
  </si>
  <si>
    <t>Link — 'Transaction Data' C11 ($5,200.0M, DEFA14A) — validation, not an input</t>
  </si>
  <si>
    <t>Difference vs committed  ($M)</t>
  </si>
  <si>
    <t>Negative = modelled financing sits inside the committed envelope</t>
  </si>
  <si>
    <t>Difference vs committed  (%)</t>
  </si>
  <si>
    <t>Within a few % — build is consistent with the announced $5.2bn commitment</t>
  </si>
  <si>
    <t>Note: New debt is sized off a leverage assumption and sponsor equity is the balancing plug, so Sources always equal Uses by construction — the meaningful test is row 33/34 against the $5.2bn committed financing. Purchase price is the as-announced implied equity value at $55.00/share; existing debt is repaid at gross principal on change of control. Financing fees are charged on new funded debt only; advisory fees on announced EV. Operating model, debt schedule and returns follow on later tabs.</t>
  </si>
  <si>
    <t>1.  Assumptions  —  operating drivers (change these)</t>
  </si>
  <si>
    <t>FY2025A</t>
  </si>
  <si>
    <t>FY2026E</t>
  </si>
  <si>
    <t>FY2027E</t>
  </si>
  <si>
    <t>FY2028E</t>
  </si>
  <si>
    <t>FY2029E</t>
  </si>
  <si>
    <t>FY2030E</t>
  </si>
  <si>
    <t>Revenue growth %</t>
  </si>
  <si>
    <t>Adj. EBITDA margin %</t>
  </si>
  <si>
    <t>D&amp;A  (% of revenue)</t>
  </si>
  <si>
    <t>Blue input — tracks FY2025A 3.6%; mostly acquired-intangible amortization</t>
  </si>
  <si>
    <t>Capex  (% of revenue)</t>
  </si>
  <si>
    <t>Blue input — asset-light; equals FY2025A capex intensity of 0.6%</t>
  </si>
  <si>
    <t>2.  Operating Model  —  pre-financing</t>
  </si>
  <si>
    <t>Revenue</t>
  </si>
  <si>
    <t>FY2025A = link 'Transaction Data' C18; thereafter prior year × (1 + growth %)</t>
  </si>
  <si>
    <t xml:space="preserve">     (memo)  Revenue growth %</t>
  </si>
  <si>
    <t>Adj. EBITDA</t>
  </si>
  <si>
    <t>FY2025A = link 'Transaction Data' C19 ($446.9M) as base check; thereafter margin % × revenue</t>
  </si>
  <si>
    <t xml:space="preserve">     (memo)  Adj. EBITDA margin %</t>
  </si>
  <si>
    <t>Memo — FY2025A implied margin is the anchor for the 16.2% FY2026E input</t>
  </si>
  <si>
    <t>Less:  D&amp;A</t>
  </si>
  <si>
    <t>FY2025A = link 'Transaction Data' C21 ($98.3M); thereafter D&amp;A % × revenue</t>
  </si>
  <si>
    <t>=  EBIT</t>
  </si>
  <si>
    <t>= Adj. EBITDA less D&amp;A (pre-interest, pre-tax)</t>
  </si>
  <si>
    <t xml:space="preserve">     (memo)  EBIT margin %</t>
  </si>
  <si>
    <t>Memo — EBIT / revenue</t>
  </si>
  <si>
    <t>Less:  Capex</t>
  </si>
  <si>
    <t>FY2025A = OCF less FCF ('Transaction Data' C24–C25, $17.0M); thereafter capex % × revenue</t>
  </si>
  <si>
    <t>Less:  Δ Net Working Capital</t>
  </si>
  <si>
    <t>=  PRE-FINANCING OPERATING CASH FLOW</t>
  </si>
  <si>
    <t>= Adj. EBITDA − capex − Δ NWC. Before interest, cash taxes and debt service — those come in Step 4.</t>
  </si>
  <si>
    <t>3.  Memo / Checks</t>
  </si>
  <si>
    <t>Revenue CAGR  (FY2025A → FY2030E)</t>
  </si>
  <si>
    <t>Adj. EBITDA CAGR  (FY2025A → FY2030E)</t>
  </si>
  <si>
    <t>Outgrows revenue on the +120bps of margin expansion</t>
  </si>
  <si>
    <t>Exit-year (FY2030E) Adj. EBITDA</t>
  </si>
  <si>
    <t>→ exit-multiple base for Step 5</t>
  </si>
  <si>
    <t>Scope note:  this tab deliberately excludes interest expense, cash taxes, mandatory amortization, the revolver and the cash sweep. Those are driven by the capital structure set in "2 · Sources &amp; Uses" and are built in Step 4 — Debt Schedule.</t>
  </si>
  <si>
    <t>1.  Financing Assumptions  —  capital-structure levers (change these)</t>
  </si>
  <si>
    <t>SOFR  (base rate)</t>
  </si>
  <si>
    <t>Term Loan B spread  (over SOFR)</t>
  </si>
  <si>
    <t>=  Term Loan all-in rate</t>
  </si>
  <si>
    <t>Revolver capacity</t>
  </si>
  <si>
    <t>Blue input — undrawn at close per '2 · Sources &amp; Uses' C9; liquidity backstop</t>
  </si>
  <si>
    <t>Revolver commitment fee  (on undrawn capacity)</t>
  </si>
  <si>
    <t>Blue input — 0.5% × undrawn capacity = $3.0M/yr cash cost in the base case</t>
  </si>
  <si>
    <t>Revolver spread  (over SOFR, on drawn balance)</t>
  </si>
  <si>
    <t>Blue input — memo; revolver stays undrawn in the base case, so drawn interest = $0.0M</t>
  </si>
  <si>
    <t>Mandatory amortization  (% of ORIGINAL Term Loan p.a.)</t>
  </si>
  <si>
    <t>Blue input — 1.0% of original principal, a flat $/yr (not off the declining balance)</t>
  </si>
  <si>
    <t>Cash tax rate</t>
  </si>
  <si>
    <t>Green link — 'Transaction Data' C26 (28.5%); applied to MAX(EBT, 0), no benefit on losses</t>
  </si>
  <si>
    <t>Opening cash at close</t>
  </si>
  <si>
    <t>Green link — 'Transaction Data' C31 ($18.3M); retained, as S&amp;U C10 uses $0.0M of target cash</t>
  </si>
  <si>
    <t>Original Term Loan principal  (at close)</t>
  </si>
  <si>
    <t>Green link — '2 · Sources &amp; Uses' C20 ($2,458.0M); amortization base and FY2026E opening balance</t>
  </si>
  <si>
    <t>2.  Levered Free Cash Flow  —  completes the P&amp;L below EBIT</t>
  </si>
  <si>
    <t>EBIT</t>
  </si>
  <si>
    <t>=  Total cash interest</t>
  </si>
  <si>
    <t>Sum of Term Loan interest, commitment fee and drawn revolver interest</t>
  </si>
  <si>
    <t>=  Net income</t>
  </si>
  <si>
    <t>= EBT less cash taxes</t>
  </si>
  <si>
    <t>Add:  D&amp;A  (non-cash)</t>
  </si>
  <si>
    <t>=  FREE CASH FLOW BEFORE DEBT REPAYMENT</t>
  </si>
  <si>
    <t>= net income + D&amp;A − capex − ΔNWC.  After interest and cash taxes, before any debt service</t>
  </si>
  <si>
    <t>Less:  mandatory amortization  (1.0% of ORIGINAL Term Loan)</t>
  </si>
  <si>
    <t>=  Cash available for optional prepayment</t>
  </si>
  <si>
    <t>= FCF before debt repayment less mandatory amortization</t>
  </si>
  <si>
    <t>=  NET CHANGE IN CASH</t>
  </si>
  <si>
    <t>3.  Term Loan Rollforward</t>
  </si>
  <si>
    <t>Opening balance</t>
  </si>
  <si>
    <t>FY2026E = link '2 · Sources &amp; Uses' C20 via C16 ($2,458.0M); thereafter prior-year closing balance</t>
  </si>
  <si>
    <t>Less:  mandatory amortization</t>
  </si>
  <si>
    <t>= row 31</t>
  </si>
  <si>
    <t>Less:  cash sweep</t>
  </si>
  <si>
    <t>= row 33</t>
  </si>
  <si>
    <t>=  CLOSING BALANCE</t>
  </si>
  <si>
    <t>= opening less mandatory amortization less sweep; becomes next year's opening and next year's interest base</t>
  </si>
  <si>
    <t>4.  Revolver Rollforward</t>
  </si>
  <si>
    <t>Opening drawn balance</t>
  </si>
  <si>
    <t>FY2026E = link '2 · Sources &amp; Uses' C21 ($0.0M undrawn at close); thereafter prior-year closing</t>
  </si>
  <si>
    <t>Add:  draw  (if cash shortfall)</t>
  </si>
  <si>
    <t>= drawn only if opening cash + net change in cash would go negative; capped at undrawn capacity</t>
  </si>
  <si>
    <t>Less:  repayment  (from surplus cash)</t>
  </si>
  <si>
    <t>= repaid from any surplus cash, capped at the opening drawn balance</t>
  </si>
  <si>
    <t>=  CLOSING DRAWN BALANCE</t>
  </si>
  <si>
    <t>= opening + draws − repayments; stays $0.0M throughout in the base case (FCF always covers debt service)</t>
  </si>
  <si>
    <t>5.  Cash Rollforward</t>
  </si>
  <si>
    <t>Opening cash</t>
  </si>
  <si>
    <t>FY2026E = link 'Transaction Data' C31 via C15 ($18.3M retained at close); thereafter prior-year closing</t>
  </si>
  <si>
    <t>Add:  net change in cash</t>
  </si>
  <si>
    <t>= row 34 net change, plus revolver draws less revolver repayments</t>
  </si>
  <si>
    <t>=  CLOSING CASH</t>
  </si>
  <si>
    <t>6.  Credit Metrics &amp; Memo</t>
  </si>
  <si>
    <t>Total debt  (Term Loan + revolver drawn)</t>
  </si>
  <si>
    <t>= closing Term Loan (row 41) + closing drawn revolver (row 47)</t>
  </si>
  <si>
    <t>Less:  cash</t>
  </si>
  <si>
    <t>= closing cash (row 52)</t>
  </si>
  <si>
    <t>=  NET DEBT</t>
  </si>
  <si>
    <t>= total debt less cash</t>
  </si>
  <si>
    <t xml:space="preserve">     (memo)  Adj. EBITDA</t>
  </si>
  <si>
    <t>Net debt  ÷  Adj. EBITDA  (net leverage)</t>
  </si>
  <si>
    <t>Adj. EBITDA  ÷  cash interest  (coverage)</t>
  </si>
  <si>
    <t>Cumulative Term Loan paydown  (since close)</t>
  </si>
  <si>
    <t>= original principal (C16) less closing balance — mandatory amortization plus cumulative sweep</t>
  </si>
  <si>
    <t>Exit (FY2030E) net debt          → feeds Step 5 returns</t>
  </si>
  <si>
    <t>= FY2030E net debt (G57). Bridges exit enterprise value to exit equity value in Step 5 — Returns</t>
  </si>
  <si>
    <t>Exit (FY2030E) net leverage</t>
  </si>
  <si>
    <t>= FY2030E net debt ÷ FY2030E Adj. EBITDA; de-levered from 5.5x gross at entry</t>
  </si>
  <si>
    <t>Cumulative Term Loan paydown, FY2026E–FY2030E</t>
  </si>
  <si>
    <t>= original $2,458.0M principal less the FY2030E closing balance</t>
  </si>
  <si>
    <t>1.  Assumptions  —  exit case (change these)</t>
  </si>
  <si>
    <t>Hold period  (years)</t>
  </si>
  <si>
    <t>Exit  EV / Adj. EBITDA  multiple</t>
  </si>
  <si>
    <t>Blue input — default is multiple-neutral (exit = entry), i.e. no multiple expansion underwritten</t>
  </si>
  <si>
    <t xml:space="preserve">     (memo)  Implied entry multiple</t>
  </si>
  <si>
    <t>Green link — 'Transaction Data' C54 (EV ÷ FY2025 Adj. EBITDA)</t>
  </si>
  <si>
    <t>$M / x</t>
  </si>
  <si>
    <t>Entry equity  —  New Mountain sponsor cheque</t>
  </si>
  <si>
    <t>Green link — '2 · Sources &amp; Uses' C23 (equity plug at close)</t>
  </si>
  <si>
    <t>Exit-year  (FY2030E)  Adj. EBITDA</t>
  </si>
  <si>
    <t>×  Exit  EV / EBITDA  multiple</t>
  </si>
  <si>
    <t>= exit multiple assumption (C7)</t>
  </si>
  <si>
    <t>=  Exit enterprise value</t>
  </si>
  <si>
    <t>= exit-year Adj. EBITDA × exit multiple</t>
  </si>
  <si>
    <t>Less:  exit net debt  (FY2030E)</t>
  </si>
  <si>
    <t>Green link — '4 · Debt Schedule &amp; FCF' G57 (total debt less cash at FY2030E)</t>
  </si>
  <si>
    <t>MOIC</t>
  </si>
  <si>
    <t>Exit  EV / EBITDA  multiple</t>
  </si>
  <si>
    <t>Exit multiple  ↓      \      Exit-year Adj. EBITDA  →</t>
  </si>
  <si>
    <t xml:space="preserve">     (memo)  Exit-year Adj. EBITDA  ($M)</t>
  </si>
  <si>
    <t>5.  “What Must Be True”  —  exit multiple required to hit a target IRR</t>
  </si>
  <si>
    <t>Req'd exit EV</t>
  </si>
  <si>
    <t>Req'd exit multiple</t>
  </si>
  <si>
    <t>CBIZ, Inc. (NYSE: CBZ) — Take-Private LBO  |  Grant Thornton Advisors / New Mountain Capital</t>
  </si>
  <si>
    <t>▸  TRANSACTION SNAPSHOT</t>
  </si>
  <si>
    <t>Committed financing</t>
  </si>
  <si>
    <t>Structure</t>
  </si>
  <si>
    <t>▸  ENTRY VALUATION</t>
  </si>
  <si>
    <t>Less:  net debt</t>
  </si>
  <si>
    <t>EV / FY2025 Adj. EBITDA</t>
  </si>
  <si>
    <t>▸  FINANCING STRUCTURE</t>
  </si>
  <si>
    <t>New Term Loan</t>
  </si>
  <si>
    <t>Sponsor equity  (New Mountain)</t>
  </si>
  <si>
    <t>Entry leverage  (× Adj. EBITDA)</t>
  </si>
  <si>
    <t>Equity % of capitalization</t>
  </si>
  <si>
    <t>Entry / FY2025A</t>
  </si>
  <si>
    <t>Exit / FY2030E</t>
  </si>
  <si>
    <t>▸  OPERATING PLAN  (FY2025A → FY2030E)</t>
  </si>
  <si>
    <t>Revenue CAGR</t>
  </si>
  <si>
    <t>Adj. EBITDA CAGR</t>
  </si>
  <si>
    <t>Net leverage  (× Adj. EBITDA)</t>
  </si>
  <si>
    <t>▸  RETURNS — BASE CASE</t>
  </si>
  <si>
    <t>Entry equity  (sponsor cheque)</t>
  </si>
  <si>
    <t>Exit equity value</t>
  </si>
  <si>
    <t>Exit multiple  (assumed)</t>
  </si>
  <si>
    <t>▸  WHAT MUST BE TRUE</t>
  </si>
  <si>
    <t>Base-case IRR</t>
  </si>
  <si>
    <t>Req'd exit multiple for 20% IRR</t>
  </si>
  <si>
    <t>Implied multiple expansion  (turns)</t>
  </si>
  <si>
    <t>KEY ASSUMPTIONS  (levers)</t>
  </si>
  <si>
    <t>Revenue growth</t>
  </si>
  <si>
    <t>EBITDA margin (exit)</t>
  </si>
  <si>
    <t>Entry leverage</t>
  </si>
  <si>
    <t>TL all-in rate</t>
  </si>
  <si>
    <t>Cash sweep</t>
  </si>
  <si>
    <t>Exit multiple</t>
  </si>
  <si>
    <t>Hold period</t>
  </si>
  <si>
    <t>As-announced entry ($55.00 / $5.0bn EV, $5.2bn committed financing); operating, financing and exit assumptions are the analyst's own — to be confirmed against the merger proxy (PREM14A/DEFM14A) and Goldman Sachs fairness opinion.  Sources: CBIZ 10-K FY2025, Q4/FY2025 results, merger 8-K, DEFA14A.</t>
  </si>
  <si>
    <t xml:space="preserve">     (memo)  Active case</t>
  </si>
  <si>
    <t>Memo — reads the toggle back as a label so the selected case is unambiguous on the printed page</t>
  </si>
  <si>
    <t xml:space="preserve">     Case 1  ·  BASE          —  Revenue growth %</t>
  </si>
  <si>
    <t xml:space="preserve">     Case 2  ·  DOWNSIDE  —  Revenue growth %</t>
  </si>
  <si>
    <t xml:space="preserve">     Case 1  ·  BASE          —  Adj. EBITDA margin %</t>
  </si>
  <si>
    <t xml:space="preserve">     Case 2  ·  DOWNSIDE  —  Adj. EBITDA margin %</t>
  </si>
  <si>
    <t>Blue — 5.0% p.a. organic, no bolt-on M&amp;A; unchanged from the original single-case model</t>
  </si>
  <si>
    <t>Blue — 3.0% p.a.: softer advisory/consulting demand, slower cross-sell, no pricing lift</t>
  </si>
  <si>
    <t>Blue — 16.2% → 17.4%, +30bps p.a. from Marcum synergies and operating leverage</t>
  </si>
  <si>
    <t>Blue — held flat at the FY2025A 16.2%: synergies fail to drop through; no operating leverage on 3% growth</t>
  </si>
  <si>
    <t>Memo — mirrors the toggle label in C7 so the numbers below are never read against the wrong case</t>
  </si>
  <si>
    <t>Exit (FY2030E) net leverage  —  selected case</t>
  </si>
  <si>
    <t>Memo check — recomputed off the revenue line, should equal row 14</t>
  </si>
  <si>
    <t>Green link — '3 · Operating Model' row 25; added back as a non-cash charge</t>
  </si>
  <si>
    <t>Green link — '3 · Operating Model' row 28 (0.6% of revenue, asset-light)</t>
  </si>
  <si>
    <t>Green link — '3 · Operating Model' row 23</t>
  </si>
  <si>
    <t>Green link — '3 · Operating Model' H23 (FY2030E Adj. EBITDA, selected case)</t>
  </si>
  <si>
    <t>2.  Returns Bridge  —  selected operating case (Tab 3 toggle)</t>
  </si>
  <si>
    <t>3.  One-Way Sensitivity  —  returns vs. exit multiple  (exit-year EBITDA and net debt held at the selected case)</t>
  </si>
  <si>
    <t>Circularity switch  (1 = ON · average-balance interest   ·   0 = OFF · breaker, opening-balance interest)</t>
  </si>
  <si>
    <t>Blue input — 1 = average-balance interest (circular, resolved by iterative calc); 0 = breaker, reverts rows 20-22 to opening-balance interest. Flip to 0 then back to 1 to clear a circular-reference cascade. See the comment on C17</t>
  </si>
  <si>
    <t>Less:  cash interest — Term Loan  (all-in rate × AVERAGE balance)</t>
  </si>
  <si>
    <t>Less:  revolver commitment fee  (on average undrawn capacity)</t>
  </si>
  <si>
    <t>Less:  revolver interest  (on average drawn balance)</t>
  </si>
  <si>
    <t>Formula — SOFR + TLB spread. Applied to the AVERAGE of the opening (row 38) and closing (row 41) Term Loan balance when the circularity switch C17 = 1; to the opening balance alone when C17 = 0</t>
  </si>
  <si>
    <t>= all-in rate (C8) × AVERAGE(opening row 38, closing row 41) when C17 = 1. This is CIRCULAR by design — closing balance depends on the sweep, which depends on FCF, which depends on this line — and is resolved by iterative calculation (100 iterations, max change 0.001). With C17 = 0 the loop is broken and interest reverts to the opening balance</t>
  </si>
  <si>
    <t>= commitment fee % × (capacity − AVERAGE opening/closing drawn) when C17 = 1; × (capacity − opening drawn) when C17 = 0. $3.0M/yr while the revolver is undrawn, so the convention makes no difference in this case</t>
  </si>
  <si>
    <t>= (SOFR + revolver spread) × AVERAGE opening/closing drawn revolver when C17 = 1; × opening drawn when C17 = 0. $0.0M throughout while the revolver stays undrawn</t>
  </si>
  <si>
    <t>Tab 4 — Debt Schedule &amp; Levered Free Cash Flow  |  FY2026E–FY2030E  |  Cash interest computed on AVERAGE debt balances, with an intended circularity resolved by iterative calculation  |  US$ in millions unless noted</t>
  </si>
  <si>
    <t>6.  Exit Net Debt re-derived by EBITDA column  —  feeds the two-way grid in section 4 (no longer held at base)</t>
  </si>
  <si>
    <t xml:space="preserve">     (memo)  EBITDA shift  —  matches the grid column header (row 34)</t>
  </si>
  <si>
    <t>Exit-year (FY2030E) Adj. EBITDA for this column</t>
  </si>
  <si>
    <t>Less:  cumulative mandatory amortization  (fixed $/yr, EBITDA-independent)</t>
  </si>
  <si>
    <t xml:space="preserve">     (memo)  Cumulative cash sweep  —  base-case paydown path</t>
  </si>
  <si>
    <t>Less:  cumulative cash sweep  —  scaled by this column's EBITDA shift</t>
  </si>
  <si>
    <t>=  Exit (FY2030E) Term Loan balance for this column</t>
  </si>
  <si>
    <t>=  EXIT NET DEBT  —  column-specific, used by the grid</t>
  </si>
  <si>
    <t xml:space="preserve">     (memo)  Variance vs. base-case exit net debt  (must be 0.0 in the 0% column)</t>
  </si>
  <si>
    <t>4.  Two-Way Sensitivity  —  IRR vs. exit multiple  ×  exit-year Adj. EBITDA   (exit net debt re-derived per EBITDA column, not held at base)</t>
  </si>
  <si>
    <t>Green link — '4 · Debt Schedule &amp; FCF' C16 ($2,458.0M original Term Loan principal)</t>
  </si>
  <si>
    <t>Green link — sum of '4 · Debt Schedule &amp; FCF' C39:G39. EBITDA-independent: a fixed 1.0% of ORIGINAL principal per year, so it does NOT scale with the column</t>
  </si>
  <si>
    <t>Green link — sum of '4 · Debt Schedule &amp; FCF' C40:G40 (base-case cumulative optional prepayment)</t>
  </si>
  <si>
    <t>= base cumulative sweep × (1 + column shift), floored at zero and capped so total paydown cannot exceed the original principal. This is the approximation — linear scaling, not a year-by-year re-run</t>
  </si>
  <si>
    <t>= original principal − cumulative mandatory − scaled sweep, floored at zero</t>
  </si>
  <si>
    <t>= exit Term Loan balance − exit cash. THIS is what the two-way grid subtracts, in place of the old fixed $C$15</t>
  </si>
  <si>
    <t>Check — must be exactly $0.0 in the 0% column (column E), proving the base column is unapproximated. Non-zero elsewhere by design: that is the whole point of the upgrade</t>
  </si>
  <si>
    <t>Blue input — MARKET-CALIBRATED, not disclosed. 4.00% is ~30bps ABOVE observed 2026-vintage term SOFR (NGL Energy 2026 TLB struck at SOFR 3.68% + 350bps at 31 Mar 2026; a Feb-2026 TLB shows 1M SOFR ~3.68% implied), and is held flat with no forward-curve decline — deliberately conservative on both counts</t>
  </si>
  <si>
    <t>Blue input — MARKET-CALIBRATED, not disclosed. S+450 matches an actual Feb-2026 vintage TLB (RVR Dealership Holdings 2026 TLB, 1M SOFR + 450bps, due 2033, all-in 8.18%). B/BB spreads ended 2025 near their lowest of this century with most 2026 survey respondents expecting flat-to-wider, so S+450 on a B-rated ~$2.46bn TLB is a mid-market quote, not aggressive. Real pricing comes with the merger proxy</t>
  </si>
  <si>
    <t>Blue input — MARKET-CALIBRATED, not disclosed; drives new Term Loan size. 5.5x sits above LCD's 5.2x average pro forma debt multiple on 2024-closed sponsor deals but below the 6.0x 2019 risk-on peak and roughly in line with the 5.7x ten-year average — supportable for an asset-light, recurring-revenue professional-services credit, and inside the 6.0x level supervisory leveraged-lending guidance flags. Committed-letter terms come with the merger proxy</t>
  </si>
  <si>
    <t>7.  US §163(j) Business-Interest Limitation  —  deduction cap, disallowed-interest carryforward and cash taxes</t>
  </si>
  <si>
    <t>§163(j) deduction cap  (% of adjusted taxable income)</t>
  </si>
  <si>
    <t>Blue input — 30% of ATI. Post-2022 ATI is computed with NO D&amp;A add-back, so ATI ≈ EBIT (row 19), not EBITDA. Interest above the cap is disallowed in the current year and carried forward indefinitely (row 77)</t>
  </si>
  <si>
    <t xml:space="preserve">     Annual computation</t>
  </si>
  <si>
    <t>Adjusted taxable income  (ATI  ≈  EBIT, no D&amp;A add-back)</t>
  </si>
  <si>
    <t>=  Interest deduction cap  (30% × ATI)</t>
  </si>
  <si>
    <t>Business interest expense  (= total cash interest, row 23)</t>
  </si>
  <si>
    <t>Disallowed-interest carryforward — opening balance</t>
  </si>
  <si>
    <t>Add:  current-year disallowed interest  (interest in excess of cap)</t>
  </si>
  <si>
    <t>Less:  carryforward used  (absorbed by current-year headroom)</t>
  </si>
  <si>
    <t>=  CARRYFORWARD — CLOSING BALANCE</t>
  </si>
  <si>
    <t>=  DEDUCTIBLE INTEREST</t>
  </si>
  <si>
    <t>=  TAXABLE INCOME  (ATI − deductible interest)</t>
  </si>
  <si>
    <t xml:space="preserve">     (memo)  Cash taxes  (28.5% × MAX(taxable income, 0))  →  row 25</t>
  </si>
  <si>
    <t>Less:  cash taxes  (28.5% × §163(j)-limited taxable income — see section 7)</t>
  </si>
  <si>
    <t>= cash tax rate (C14, 28.5%) × MAX(§163(j)-limited TAXABLE INCOME (row 79), 0) — no tax benefit recognised on a loss year. This is NO LONGER 28.5% × EBT: interest is only deductible up to 30% of ATI per section 7, so taxable income exceeds book EBT (row 24) by the non-deductible interest in row 81</t>
  </si>
  <si>
    <t>= EBIT (row 19). Post-2022 ATI takes NO depreciation/amortization add-back, so ATI ≈ EBIT rather than EBITDA — this is what makes the limitation bite on a ~5.5x levered structure</t>
  </si>
  <si>
    <t>= total cash interest (row 23) — Term Loan interest + revolver commitment fee + drawn revolver interest. Commitment fees on a credit facility are treated as business interest expense for §163(j) purposes, so the full row 23 is tested against the cap</t>
  </si>
  <si>
    <t>FY2026E = blue input $0.0M (no pre-transaction disallowance inherited at close); thereafter prior-year CLOSING carryforward (row 77). Disallowed interest carries forward indefinitely under §163(j)</t>
  </si>
  <si>
    <t>= MAX(business interest − cap, 0). Interest above 30% of ATI is denied this year and added to the carryforward</t>
  </si>
  <si>
    <t>= MIN(opening carryforward, MAX(cap − current-year interest, 0)). Carryforward is only absorbed once the loan has amortized far enough that current interest sits BELOW the cap, creating headroom</t>
  </si>
  <si>
    <t>= opening + current-year disallowed − amount used. Carries forward indefinitely; any unused balance at exit is a tax attribute transferred with the company and is NOT valued in the returns bridge (conservative)</t>
  </si>
  <si>
    <t>= MIN(current-year interest, cap) + carryforward used. Equivalent to MIN(current interest + opening carryforward, cap) — current-year and carried-forward interest are pooled against the same 30%-of-ATI cap</t>
  </si>
  <si>
    <t>Memo — ties to row 25; shown here so the tax charge is auditable inside the §163(j) block</t>
  </si>
  <si>
    <t xml:space="preserve">     (memo)  Interest paid but not deducted  /  (prior denials now deducted)</t>
  </si>
  <si>
    <t>= business interest (row 73) − deductible interest (row 78). POSITIVE = cash interest paid this year that earns no tax shield (a timing difference, not a permanent loss). NEGATIVE = a year where headroom absorbed prior-year denials, so the deduction exceeds cash interest paid — FY2030E is the first such year</t>
  </si>
  <si>
    <t>7.  Management Incentive Pool  —  dilution of sponsor exit equity  (feeds rows 17–20 and the sensitivity grids)</t>
  </si>
  <si>
    <t>Blue input — 10% pool. Appreciation-only economics: management shares in value created above the strike (row 73), not in the whole exit equity value, so a flat exit is undiluted. Flex to test an 8–12% pool</t>
  </si>
  <si>
    <t>Strike basis  (% of sponsor entry equity value)</t>
  </si>
  <si>
    <t>Blue input — 100.0% strikes the pool at the sponsor's entry cheque, so management is paid only on value created above cost. Set &gt;100% for a premium hurdle (e.g. 150% = a 1.5x MOIC hurdle), &lt;100% for an in-the-money strike, 0% for no hurdle</t>
  </si>
  <si>
    <t>=  Strike (hurdle) equity value</t>
  </si>
  <si>
    <t>= strike basis % (C72) × sponsor entry equity (C11). The dollar hurdle the exit equity value must clear before management participates</t>
  </si>
  <si>
    <t>Gross exit equity value  (before the pool)</t>
  </si>
  <si>
    <t>= row 16 (exit EV less exit net debt). Shown here so the whole pool calculation is auditable in one block</t>
  </si>
  <si>
    <t>=  Value created above the strike</t>
  </si>
  <si>
    <t>= MAX(gross exit equity − strike, 0). The MAX is what makes the pool appreciation-only: at or below the strike the payoff is zero and the sponsor keeps 100% of a flat or down exit</t>
  </si>
  <si>
    <t>=  MANAGEMENT PAYOFF  →  row 17</t>
  </si>
  <si>
    <t>= pool % (C71) × value created above the strike (row 75). Deducted from gross exit equity in row 17 of the returns bridge</t>
  </si>
  <si>
    <t>=  SPONSOR NET EXIT EQUITY  →  row 18</t>
  </si>
  <si>
    <t>= gross exit equity − management payoff. This is the figure the headline MOIC (row 19) and IRR (row 20) are now computed on</t>
  </si>
  <si>
    <t>= gross exit equity ÷ entry equity. What the bridge reported before the pool was introduced — retained so the dilution is transparent</t>
  </si>
  <si>
    <t>= gross MOIC^(1 ÷ hold) − 1. Compare with the sponsor-net IRR in row 20; the gap is the pool drag in row 80</t>
  </si>
  <si>
    <t xml:space="preserve">     (memo)  Pool drag on sponsor IRR  (net − gross)</t>
  </si>
  <si>
    <t>= sponsor-net IRR (row 20) − gross IRR (row 79). Negative by construction whenever the exit clears the strike; exactly zero at or below the strike</t>
  </si>
  <si>
    <t xml:space="preserve">     (memo)  Pool payoff as % of gross exit equity</t>
  </si>
  <si>
    <t>= management payoff ÷ gross exit equity. Effective dilution rate — always BELOW the headline pool % because the strike is carved out first</t>
  </si>
  <si>
    <t>= exit EV less exit net debt. No interim dividends. This is the GROSS equity value before the management incentive pool — the sponsor no longer keeps 100% of it (see section 7)</t>
  </si>
  <si>
    <t>= section 7 row 76: pool % (C71) × MAX(gross exit equity − strike (C73), 0). Appreciation-only — management shares in value created above the sponsor's entry cheque, not in the whole exit equity value</t>
  </si>
  <si>
    <t>=  SPONSOR NET EXIT EQUITY</t>
  </si>
  <si>
    <t>= gross exit equity less the management pool payoff. All returns below are computed on THIS figure</t>
  </si>
  <si>
    <t>MOIC  —  sponsor net  (multiple of invested capital)</t>
  </si>
  <si>
    <t>= sponsor NET exit equity (row 18) ÷ entry equity (row 11). Gross MOIC before the pool is retained as a memo in row 78</t>
  </si>
  <si>
    <t>Exit equity (gross)</t>
  </si>
  <si>
    <t>Less: mgmt pool</t>
  </si>
  <si>
    <t>Sponsor net equity</t>
  </si>
  <si>
    <t>MOIC (net)</t>
  </si>
  <si>
    <t>IRR (net)</t>
  </si>
  <si>
    <t>Exit equity (gross) = multiple × exit-year Adj. EBITDA (C12) − exit net debt (C15)  ·  Less: mgmt pool = pool % (C71) × MAX(gross − strike (C73), 0)  ·  MOIC = sponsor net equity ÷ entry equity (C11)  ·  IRR = MOIC^(1/5) − 1. All returns are SPONSOR NET of the management pool. Both anchors move with the Tab 3 scenario toggle</t>
  </si>
  <si>
    <t xml:space="preserve">     (memo)  Tie-out:  centre cell (11.2x × 0% shift)  −  headline sponsor-net IRR in C20   —  must be 0.00%</t>
  </si>
  <si>
    <t>Check — must read 0.00%. If it does not, the multiple axis has drifted off the base exit multiple in C7 (centre cell B42 should equal C7), or the grid's management-pool netting has drifted from section 7</t>
  </si>
  <si>
    <t>Blue inputs — % shift applied to the selected case's FY2030E Adj. EBITDA (C12). Each column also re-derives its own exit net debt in section 6 (rows 58–68)</t>
  </si>
  <si>
    <t>= base exit EBITDA (C12) × (1 + column shift). Feeds both the grid numerator and the column net-debt block in row 60</t>
  </si>
  <si>
    <t>Sponsor-NET IRR. Gross exit equity = row multiple × column EBITDA − COLUMN-SPECIFIC exit net debt from row 67; the management pool is then deducted as pool % (C71) × MAX(gross − strike (C73), 0); ÷ entry equity (C11), ^(1/hold) − 1. Entry equity is absolute; exit net debt moves with the column. Multiple axis is centred on the base exit multiple (C7) so the shaded centre cell reconciles to C20</t>
  </si>
  <si>
    <t>Memo — links to the grid column header (row 36) so the two blocks can never drift apart</t>
  </si>
  <si>
    <t>= grid row 37 (base exit EBITDA × (1 + shift)); shown here for readability</t>
  </si>
  <si>
    <t>What is and is not re-run per cell:  RE-RUN per EBITDA column — exit net debt. Each column takes its own exit-year EBITDA and scales the base-case cumulative cash sweep by that column's EBITDA shift (lower EBITDA → proportionally less free cash flow → less optional prepayment → higher exit net debt), leaves mandatory amortization unchanged because it is a fixed $/yr off the ORIGINAL principal, and deducts the same exit cash. The workings are visible in section 6 (rows 58–68), not buried in the grid formula. Exit net debt is genuinely independent of the exit MULTIPLE, so one figure per column is exact across all nine rows — no approximation on that axis.  ALSO RE-RUN per cell — the management incentive pool. Each cell deducts pool % (C71) × MAX(that cell's gross exit equity − strike (C73), 0), so the dilution is exact at every point on the grid rather than held at the base-case dollar payoff; cells at or below the strike are undiluted.  NOT re-run — the full five-year debt schedule. The sweep is scaled linearly rather than rebuilt year by year, so three second-order effects are omitted: (i) the interest feedback (less paydown → higher average balances → more interest → still less sweep), which means the away-from-base columns are, if anything, mildly OPTIMISTIC; (ii) the cash-tax shield on that extra interest, which pushes the other way — note that with the §163(j) cap now binding on Tab 4 this offset is much weaker than it used to be, since extra interest above 30% of ATI earns no current deduction; and (iii) any revolver draw or minimum-cash breach in a severe downside. Capex, D&amp;A and ΔNWC are revenue-driven and are held on the selected operating case's path, since an EBITDA shift alone does not pin down revenue.  The 0% column is EXACT, not approximate: at a zero shift the scaling is inert and row 67 reconciles to '4 · Debt Schedule &amp; FCF' G57 to the cent — see the variance check in row 68 and the centre-cell tie-out above. For a fully rigorous downside, drive the operating toggle on Tab 3 instead; this grid is a valuation-and-EBITDA cut around that case.</t>
  </si>
  <si>
    <t>=  Exit equity value  (GROSS, pre-pool)</t>
  </si>
  <si>
    <t>Less:  management incentive pool  (section 7)</t>
  </si>
  <si>
    <t>Req'd net equity</t>
  </si>
  <si>
    <t>Req'd gross equity</t>
  </si>
  <si>
    <t>Management incentive pool  (% above strike)</t>
  </si>
  <si>
    <t xml:space="preserve">     (memo)  GROSS MOIC  —  before the pool</t>
  </si>
  <si>
    <t xml:space="preserve">     (memo)  GROSS IRR  —  before the pool</t>
  </si>
  <si>
    <t>8.  Excess-Cash-Flow Sweep  —  leverage-based step-down grid  (drives the sweep % in row 33)</t>
  </si>
  <si>
    <t>Sweep mode  (1 = leverage step-down  ·  0 = flat sweep at C13)</t>
  </si>
  <si>
    <t>Blue toggle — 1 = re-test the sweep % each year against opening net leverage (rows 86-88); 0 = flat sweep at C13 (100%), the pre-upgrade behaviour. Flip to 0 to isolate the step-down's impact on exit leverage and IRR</t>
  </si>
  <si>
    <t>Threshold</t>
  </si>
  <si>
    <t>Sweep %</t>
  </si>
  <si>
    <t>Tier 1  —  opening net leverage  ABOVE</t>
  </si>
  <si>
    <t>Blue inputs — above 4.50x opening net leverage, 50% of excess cash flow is swept to the Term Loan</t>
  </si>
  <si>
    <t>Tier 2  —  opening net leverage  AT OR ABOVE</t>
  </si>
  <si>
    <t>Blue inputs — between 3.50x and 4.50x (inclusive of 3.50x), the sweep steps down to 25%</t>
  </si>
  <si>
    <t>Tier 3  —  opening net leverage  BELOW Tier 2 threshold</t>
  </si>
  <si>
    <t>–</t>
  </si>
  <si>
    <t>Blue input — below 3.50x the sweep switches off entirely and 100% of excess cash flow is retained as cash</t>
  </si>
  <si>
    <t xml:space="preserve">     Annual test  —  opening net leverage and the resulting sweep %</t>
  </si>
  <si>
    <t>Opening net debt  (opening TL + opening revolver − opening cash)</t>
  </si>
  <si>
    <t>= opening Term Loan (row 38) + opening drawn revolver (row 44) − opening cash (row 50). Equals the prior year's closing net debt (row 57), so the test is struck on the balance sheet the borrower actually enters the year with</t>
  </si>
  <si>
    <t>÷  LTM Adj. EBITDA  (prior fiscal year)</t>
  </si>
  <si>
    <t>LTM (trailing) Adj. EBITDA, matching credit-agreement practice. FY2026E tests against FY2025A actual — green link to '3 · Operating Model' C23 ($446.9M); later years use the prior column of row 58 on this tab</t>
  </si>
  <si>
    <t>=  OPENING NET LEVERAGE  (the test)</t>
  </si>
  <si>
    <t>= opening net debt ÷ LTM Adj. EBITDA. FY2026E strikes at entry leverage on a NET basis (vs. the 5.5x GROSS entry multiple in '2 · Sources &amp; Uses' C28), because $18.3M of cash is retained at close</t>
  </si>
  <si>
    <t>=  APPLIED SWEEP %  →  row 33</t>
  </si>
  <si>
    <t>Nested IF on the tier table: mode 0 returns the flat C13 sweep; mode 1 returns 50% above the Tier 1 threshold, 25% at or above Tier 2, else 0%. Feeds row 33, where the opening-balance cap is applied</t>
  </si>
  <si>
    <t xml:space="preserve">     (memo)  Tier triggered</t>
  </si>
  <si>
    <t>Label only — names the tier the year's opening leverage lands in, so the step-down path is readable at a glance</t>
  </si>
  <si>
    <t xml:space="preserve">     (memo)  Cash retained  (excess CF not swept)</t>
  </si>
  <si>
    <t>= cash available for optional prepayment (row 32) less the sweep (row 33). Ties to row 34 and accumulates through the cash rollforward in rows 50-52</t>
  </si>
  <si>
    <t>Cash sweep — FLAT mode only  (% of excess free cash flow)</t>
  </si>
  <si>
    <t>Blue input — used ONLY when the sweep-mode toggle in C84 = 0. With C84 = 1 (default) the sweep % is re-tested each year against opening net leverage in section 8 and this cell is dormant</t>
  </si>
  <si>
    <t>Less:  cash sweep  (optional Term Loan prepayment, % per section 8)</t>
  </si>
  <si>
    <t>= APPLIED SWEEP % (row 93) × MAX(cash available, 0), capped so mandatory amortization + sweep never exceed the opening Term Loan balance. The percentage steps down with opening net leverage per the tier table in section 8 — 50% above 4.50x, 25% from 3.50x to 4.50x, 0% below 3.50x — unless the C84 toggle is set to 0, which reverts to the flat C13 sweep</t>
  </si>
  <si>
    <t>= cash available for optional prepayment less the sweep. NO LONGER $0.0M: under the leverage step-down the un-swept portion of excess cash flow is retained and accumulates in the cash rollforward (rows 50-52). It was $0.0M under the old flat 100% sweep</t>
  </si>
  <si>
    <t>De-levering path from 5.5x gross at entry ('2 · Sources &amp; Uses' C28) — driven by Term Loan paydown, retained cash and EBITDA growth. This is the CLOSING ratio; the sweep tier in section 8 is tested on the OPENING ratio (row 92), i.e. the prior year's closing net debt over the prior year's EBITDA</t>
  </si>
  <si>
    <t>Legend:  BLUE = editable financing assumption   ·   BLACK = live formula   ·   GREEN = link to "Transaction Data" / "2 · Sources &amp; Uses" / "3 · Operating Model".  This tab completes the P&amp;L below EBIT (interest, cash taxes) and runs the Term Loan paydown, revolver and cash rollforward. Exit-year net debt feeds Step 5 (Returns).  SCENARIO: fully live off the operating-case toggle in '3 · Operating Model' C6.  CIRCULARITY: the switch in C17 selects average-balance interest (1) or the opening-balance breaker (0) — see the comment on C17.  TAX: cash taxes in row 25 are computed on §163(j)-LIMITED taxable income, not book EBT — the US business-interest deduction is capped at 30% of adjusted taxable income (ATI ≈ EBIT post-2022, no D&amp;A add-back) with disallowed interest carried forward indefinitely. Full workings in section 7 (rows 68–81).  CASH SWEEP: no longer a flat 100% — the sweep is a leverage-based excess-cash-flow step-down (50% above 4.50x opening net leverage, 25% from 3.50x to 4.50x, 0% below 3.50x), re-tested every year. Tier table and annual test in section 8 (rows 83–95); the blue toggle in C84 reverts to the old flat sweep for comparison.</t>
  </si>
  <si>
    <t xml:space="preserve">     Tier table  —  sweep % by leverage test  (blue)</t>
  </si>
  <si>
    <t xml:space="preserve">     Case 3  ·  STRESS         —  Revenue growth %</t>
  </si>
  <si>
    <t>Blue — revenue DECLINES 3.0% in FY2026E then is held FLAT for the rest of the hold: client attrition and lost advisory mandates in year one, followed by no recovery and no pricing lift. Revenue never regains the FY2025A base</t>
  </si>
  <si>
    <t xml:space="preserve">     Case 3  ·  STRESS         —  Adj. EBITDA margin %</t>
  </si>
  <si>
    <t>Blue — margin compresses on a straight line from the FY2025A anchor of 16.2% to 14.0% by FY2030E (−55bps p.a.): pricing pressure, no synergy capture and negative operating leverage on a shrinking revenue base. See the comment on H14 for the alternative, harsher FY2026E starting point</t>
  </si>
  <si>
    <t>SCENARIO  (1 = Base,  2 = Downside,  3 = STRESS)</t>
  </si>
  <si>
    <t>Legend:  BLUE = editable assumption (one cell per projection year)   ·   BLACK = live formula   ·   GREEN = link to "Transaction Data" or another tab.  SCENARIO: the toggle in C6 selects Base (1), Downside (2) or STRESS (3) from the case library in rows 9-14; rows 16-17 are CHOOSE formulas, so Tabs 4 and 5 recalculate live off C6.  Scope: operations only — stops at pre-financing operating cash flow. Interest, taxes, debt paydown and the cash sweep are built in Step 4 (Debt Schedule).</t>
  </si>
  <si>
    <t>0.  Scenario Toggle  —  select the operating case (drives rows 16 and 17)</t>
  </si>
  <si>
    <t>Case library  —  raw inputs for every case (all three cases stay visible; only the selected one feeds the model)</t>
  </si>
  <si>
    <t>Blue input — the single scenario switch; drives rows 16-17 via CHOOSE, and thence Tabs 4 and 5</t>
  </si>
  <si>
    <t>BLACK formula — =CHOOSE($C$6, row 9, row 10, row 11). Raw case inputs live in the library above; flex the case in C6</t>
  </si>
  <si>
    <t>BLACK formula — =CHOOSE($C$6, row 12, row 13, row 14). Base steps +30bps p.a.; Downside holds the FY2025A margin flat; STRESS compresses to 14.0%</t>
  </si>
  <si>
    <t>Green link — '5 · Returns &amp; Sensitivities' C20 (sponsor IRR, net of the management incentive pool). Recalculates with the toggle: growth and margin flow through EBITDA → FCF → debt paydown → exit net debt → exit equity</t>
  </si>
  <si>
    <t>Green link — '4 · Debt Schedule &amp; FCF' G59 (FY2030E net debt ÷ FY2030E Adj. EBITDA); entry leverage is 5.5x gross in all three cases</t>
  </si>
  <si>
    <t>Break-even  —  sponsor 1.0x MOIC  (0.0% IRR)</t>
  </si>
  <si>
    <t>= (sponsor entry equity + exit net debt) ÷ exit-year Adj. EBITDA — the exit multiple at which the sponsor recovers its cheque exactly (1.0x MOIC, 0.0% IRR). No management-pool gross-up applies: at a 1.0x outcome exit equity equals the pool's strike, so the pool pays nothing. Compare with the entry multiple in C8 for the multiple compression the deal can absorb</t>
  </si>
  <si>
    <t>Req'd sponsor NET exit equity = entry equity × (1 + target)^hold  ·  Req'd GROSS equity grosses that up for the management pool: (net − pool% × strike) ÷ (1 − pool%) whenever the target clears the strike, else unchanged  ·  Req'd exit EV = + exit net debt  ·  Req'd multiple = ÷ exit-year Adj. EBITDA. The pool therefore RAISES the exit multiple management must deliver to clear each sponsor hurdle. The final row is the BREAK-EVEN floor — the multiple at which the sponsor recovers its cheque exactly (1.0x MOIC); all four figures move with the Tab 3 operating-case toggle</t>
  </si>
  <si>
    <t>8.  Dated Cash Flows  —  XIRR on the actual calendar hold vs. the MOIC^(1/n) convention</t>
  </si>
  <si>
    <t>Date</t>
  </si>
  <si>
    <t>Cash flow / value</t>
  </si>
  <si>
    <t>Entry  —  sponsor equity cheque  (outflow)</t>
  </si>
  <si>
    <t>= − entry equity (row 11), signed negative as the sponsor's outflow. Date is a blue input — see the comment on C84 for the stub-period caveat</t>
  </si>
  <si>
    <t>Exit  —  sponsor net exit equity  (inflow)</t>
  </si>
  <si>
    <t>= sponsor NET exit equity (row 18), i.e. after the management incentive pool. Date is a blue input — default is the FY2030E year end</t>
  </si>
  <si>
    <t>=  XIRR  —  actual dated flows</t>
  </si>
  <si>
    <t>BLACK formula — =XIRR(flows, dates) on the two dated cash flows above. Actual-calendar, day-count IRR (365-day basis). This is the economically correct annualisation of the modelled outcome, subject to the stub-period caveat on C84</t>
  </si>
  <si>
    <t xml:space="preserve">     (memo)  Hold period  —  days</t>
  </si>
  <si>
    <t>= exit date less close date. Includes the 29 Feb 2028 leap day</t>
  </si>
  <si>
    <t xml:space="preserve">     (memo)  Hold period  —  actual years  (365-day basis)</t>
  </si>
  <si>
    <t xml:space="preserve">     (memo)  IRR  —  MOIC^(1/n) at the 5.0-yr convention  (row 20)</t>
  </si>
  <si>
    <t>The tab's headline IRR, retained unchanged. Understates the annualised return because it spreads the same MOIC over 5.0 years rather than the 4.05 actual years</t>
  </si>
  <si>
    <t xml:space="preserve">     (memo)  Timing difference  (XIRR − convention)</t>
  </si>
  <si>
    <t xml:space="preserve">     (memo)  Cross-check:  MOIC^(1 ÷ actual years) − 1</t>
  </si>
  <si>
    <t>Independent re-derivation: the same sponsor-net MOIC (row 19) annualised over the ACTUAL hold. Must reconcile to the XIRR because there are only two cash flows</t>
  </si>
  <si>
    <t xml:space="preserve">     (memo)  Cross-check variance vs. XIRR   —  must be 0.00%</t>
  </si>
  <si>
    <t>Check — must read ✓ 0.00%. Rounded to 7 decimal places to absorb iterative-calculation noise from Tab 4's interest loop. Confirms XIRR is doing nothing more exotic than annualising the single entry-to-exit multiple over the dated hold. If interim cash flows are ever added this check will break by design, and MOIC^(1/n) ceases to approximate IRR</t>
  </si>
  <si>
    <t>9.  Value-Creation Bridge  —  decomposition of the change in equity value  (entry → exit)</t>
  </si>
  <si>
    <t>% of total</t>
  </si>
  <si>
    <t>Entry  Adj. EBITDA  (FY2025A)</t>
  </si>
  <si>
    <t>Green link — 'Transaction Data' C19 ($446.9M FY2025A Adj. EBITDA, the multiple base at entry)</t>
  </si>
  <si>
    <t>Exit-year  Adj. EBITDA  (FY2030E)</t>
  </si>
  <si>
    <t>= row 12 (selected operating case). Moves with the Tab 3 scenario toggle</t>
  </si>
  <si>
    <t>Entry  EV / Adj. EBITDA  multiple</t>
  </si>
  <si>
    <t>= row 8 (implied entry multiple, 'Transaction Data' C54 = announced $5.0bn EV ÷ FY2025A Adj. EBITDA)</t>
  </si>
  <si>
    <t>= row 7 (exit multiple assumption). Default is multiple-neutral, i.e. set equal to the entry multiple</t>
  </si>
  <si>
    <t>Entry  net debt  (pro forma at close)</t>
  </si>
  <si>
    <t>Green link — new Term Loan ('2 · Sources &amp; Uses' C20) + revolver drawn (C21) less cash retained at close ('4 · Debt Schedule &amp; FCF' C15). This is the POST-LBO opening net debt, not CBIZ's pre-deal net debt</t>
  </si>
  <si>
    <t>Exit  net debt  (FY2030E)</t>
  </si>
  <si>
    <t>= row 15 ('4 · Debt Schedule &amp; FCF' G57, total debt less cash at FY2030E for the selected case)</t>
  </si>
  <si>
    <t>Entry  sponsor equity  cheque</t>
  </si>
  <si>
    <t>= row 11 ('2 · Sources &amp; Uses' C23, the equity plug at close)</t>
  </si>
  <si>
    <t>Sponsor NET exit equity  (after mgmt pool)</t>
  </si>
  <si>
    <t>= row 18. Bridging to the SPONSOR-NET figure, so the management incentive pool appears as its own driver below</t>
  </si>
  <si>
    <t>=  TOTAL change in equity value  to explain</t>
  </si>
  <si>
    <t>= sponsor net exit equity less entry equity. Equals row 18 − row 11, i.e. the dollar profit behind the 1.96x net MOIC in row 19</t>
  </si>
  <si>
    <t>(1)   EBITDA growth   (at the ENTRY multiple)</t>
  </si>
  <si>
    <t>= (exit Adj. EBITDA − entry Adj. EBITDA) × ENTRY multiple. Valued at the entry multiple so the growth bucket is pure operating performance, with no valuation effect mixed in</t>
  </si>
  <si>
    <t>(2)   Multiple change   (on EXIT-year EBITDA)</t>
  </si>
  <si>
    <t>= (exit multiple − entry multiple) × EXIT-year Adj. EBITDA. Applied to exit-year EBITDA so buckets (1) and (2) do not double-count the growth × re-rating cross term. NEAR ZERO BY DESIGN: the base case underwrites a multiple-neutral exit (row 7 = row 8), so essentially none of the return comes from re-rating</t>
  </si>
  <si>
    <t>(3)   Debt paydown / deleveraging</t>
  </si>
  <si>
    <t>= entry net debt (row 99) − exit net debt (row 100). Every dollar of net debt retired accrues to equity one-for-one. Combines Term Loan amortization, the cash sweep and the cash build on the Tab 4 paydown path</t>
  </si>
  <si>
    <t>(4)   Management incentive pool   (dilution)</t>
  </si>
  <si>
    <t>= − row 17 (section 7 payoff). Negative by construction whenever the exit clears the strike — shown as its own driver rather than buried in the residual, because the bridge reconciles to SPONSOR-NET exit equity</t>
  </si>
  <si>
    <t>(5)   Residual  —  transaction &amp; financing fees</t>
  </si>
  <si>
    <t>= total to explain (row 103) less drivers (1)–(4). Balancing plug by construction. It is NOT noise: it resolves to exactly the fees funded in Uses at close — financing fees ('2 · Sources &amp; Uses' C15) + advisory fees (C16) — which the sponsor's equity cheque paid but which bought no enterprise value. Row 112 proves the identity</t>
  </si>
  <si>
    <t>=  TOTAL  —  sum of drivers (1) – (5)</t>
  </si>
  <si>
    <t>= sum of the five driver buckets. Must equal the total to explain in row 103</t>
  </si>
  <si>
    <t>Check:  drivers − total change   (must = 0)</t>
  </si>
  <si>
    <t>Check — must read ✓ $0.0. True by construction because driver (5) is the plug; the meaningful integrity test is row 112, which shows the plug is not absorbing an unexplained error</t>
  </si>
  <si>
    <t xml:space="preserve">     (memo)  Check:  residual − fees funded at close   (must = 0)</t>
  </si>
  <si>
    <t>Check — must read ✓ $0.0. Proves the residual is entirely the $136.4M of financing ($61.4M) and advisory ($75.0M) fees funded in Uses at close, with no unexplained plug. Breaks only if a driver is mis-specified or an interim cash flow (dividend recap, follow-on equity) is added without a matching bucket</t>
  </si>
  <si>
    <t xml:space="preserve">     (memo)  Operating + deleveraging as % of total   (drivers 1 + 3)</t>
  </si>
  <si>
    <t>= (EBITDA growth + deleveraging) ÷ total change. Reads well above 100% because the mgmt pool and fees are negative buckets — the point being that multiple expansion contributes ~0%: this return is underwritten entirely on operating growth and debt paydown</t>
  </si>
  <si>
    <t>Less:  cash at exit  (builds — the sweep steps down with leverage, so excess FCF accumulates)</t>
  </si>
  <si>
    <t>9.  Stub Period  —  partial-year FY2026E ownership from the modelled close date  (drives the period factor in row 102)</t>
  </si>
  <si>
    <t>Modelled close date  (the single source in the workbook)</t>
  </si>
  <si>
    <t>Blue input — the assumed funding date of the sponsor's equity cheque. This is now the ONLY close-date input in the workbook: '5 · Returns &amp; Sensitivities' C84 links here, so the XIRR, the hold period and the stub factor can never drift apart</t>
  </si>
  <si>
    <t>Modelled exit date  (last day of FY2030E)</t>
  </si>
  <si>
    <t>Blue input — assumed exit at the FY2030E year end. '5 · Returns &amp; Sensitivities' C85 links here</t>
  </si>
  <si>
    <t>FY2026E fiscal year end</t>
  </si>
  <si>
    <t>CBIZ reports on a 31 December year end, so FY2026E closes 16 days after the modelled close</t>
  </si>
  <si>
    <t>=  FY2026E stub  —  days owned  (fiscal year end less close date)</t>
  </si>
  <si>
    <t>= 16 days. The sponsor owns CBIZ for 16 of the 366 days in FY2026E, so crediting a full year of EBITDA, cash flow and debt paydown to that year would be crediting a period before the equity was funded</t>
  </si>
  <si>
    <t>=  PERIOD FACTOR  —  fraction of each fiscal year owned  →  applied to the FY2026E column of section 2</t>
  </si>
  <si>
    <t>= stub days ÷ 365, capped at 100%. FY2027E–FY2030E are full years of ownership, hence 100%. Every flow item in the FY2026E column of section 2 — EBIT, cash interest, the commitment fee, D&amp;A, capex, ΔNWC and mandatory amortization — is multiplied by this row, so the modelled cash flows now start when the equity is actually funded. Balance-sheet items (the Term Loan rollforward, revolver and cash rollforward) are NOT scaled: a balance is a balance</t>
  </si>
  <si>
    <t xml:space="preserve">     (memo)  Total days owned per the model  (stub + FY2027E–FY2030E)</t>
  </si>
  <si>
    <t>= 16 stub days + the 1,461 days of FY2027E–FY2030E (includes the 29 Feb 2028 leap day)</t>
  </si>
  <si>
    <t xml:space="preserve">     (memo)  Calendar hold  —  exit date less close date</t>
  </si>
  <si>
    <t>= the actual elapsed calendar hold, the same figure the XIRR on Tab 5 runs on</t>
  </si>
  <si>
    <t>Check:  modelled days − calendar days  (must = 0)</t>
  </si>
  <si>
    <t>THE STUB-PERIOD INTEGRITY CHECK. Must read ✓ 0 days. It proves the model now recognises exactly as many days of cash flow and debt paydown as the sponsor actually owns the asset. Before this section was added the model ran five FULL fiscal years (1,826 days) against a 1,477-day hold — a 349-day over-count that flattered deleveraging and made the headline IRR irreconcilable with the dated XIRR</t>
  </si>
  <si>
    <t>=  OWNERSHIP YEARS  —  365-day basis  →  drives the hold period on Tab 5</t>
  </si>
  <si>
    <t>= calendar days ÷ 365. '5 · Returns &amp; Sensitivities' C6 now links here instead of carrying a hardcoded 5.0, so the MOIC^(1/n) headline IRR is annualised over the SAME period as the XIRR and the two reconcile to the basis point</t>
  </si>
  <si>
    <t>= Adj. EBITDA ÷ ANNUALISED total cash interest (row 23 grossed back up by the period factor in row 102). The gross-up matters only in the FY2026E stub column, where 16 days of interest would otherwise be compared with a full year of EBITDA and show a meaningless ~50x coverage</t>
  </si>
  <si>
    <t>10.  Interest Income on Cash Balances  —  the un-swept cash no longer sits idle</t>
  </si>
  <si>
    <t>Deposit spread vs. SOFR  (deducted from the base rate)</t>
  </si>
  <si>
    <t>Blue input — deposits and government money-market funds yield inside SOFR after bank spread and fund fees. Set to 0.0% to earn SOFR flat</t>
  </si>
  <si>
    <t>=  Cash deposit rate earned on balances</t>
  </si>
  <si>
    <t>= SOFR (C6) less the deposit spread (C109). Floats with SOFR, so a rate stress hits interest expense and interest income together</t>
  </si>
  <si>
    <t>=  INTEREST INCOME  (deposit rate × AVERAGE cash balance)  →  row 24</t>
  </si>
  <si>
    <t>= deposit rate (C110) × AVERAGE(opening cash row 50, closing cash row 52) when the circularity switch C17 = 1; × opening cash when C17 = 0. Scaled by the period factor (row 102) in the stub year. This adds a SECOND intended circularity — cash → interest income → EBT → free cash flow → net change in cash → cash — resolved by the same iterative calculation as the interest-expense loop. Previously the model let cash accumulate to several hundred million dollars earning nothing, understating the return</t>
  </si>
  <si>
    <t xml:space="preserve">     (memo)  Interest income as % of total cash interest expense</t>
  </si>
  <si>
    <t>Memo — the natural hedge: as the sweep steps down and cash builds, interest income offsets a growing share of interest expense</t>
  </si>
  <si>
    <t>=  EBT  (pre-tax income — after cash interest, after interest income)</t>
  </si>
  <si>
    <t xml:space="preserve">     (memo)  Cross-check:  pre-financing op CF − interest + interest income − taxes − FCF  (must = 0)</t>
  </si>
  <si>
    <t>Green link — '3 · Operating Model' row 28 (Adj. EBITDA less D&amp;A), × the period factor in row 102. FY2026E is a 16-day STUB: only 4.4% of the fiscal year's EBIT is recognised, because the sponsor's equity is not funded until 15 Dec 2026</t>
  </si>
  <si>
    <t>= EBIT less total cash interest PLUS interest income on cash balances (section 10, row 112). Interest income was previously ignored, leaving several hundred million dollars of un-swept cash earning nothing</t>
  </si>
  <si>
    <t>= amort % (C12) × ORIGINAL principal (C16) × the period factor (row 102) — a flat $24.6M/yr in the full years and only $1.1M in the 16-day FY2026E stub; capped at the opening balance</t>
  </si>
  <si>
    <t>Tie-out to '3 · Operating Model' row 32, scaled by the period factor: (Adj. EBITDA − capex − ΔNWC) × period factor − interest + interest income − cash taxes must equal FCF before debt repayment. Holds in every scenario and in the stub year</t>
  </si>
  <si>
    <t>= §163(j) cap % (C69, 30%) × ATI (row 71) PLUS business interest income (section 10, row 112). §163(j) limits the deduction to business interest income plus 30% of ATI, so interest earned on the cash pile raises the cap dollar-for-dollar. Consequence, visible in row 79: while the cap binds, interest income is effectively UNTAXED — it lifts the deduction by exactly the amount it lifts taxable income, so it drops straight through to free cash flow</t>
  </si>
  <si>
    <t>= ATI (row 71) + business interest income (row 112) − deductible interest (row 78). The base for cash taxes in row 25, in place of book EBT. Unchanged by the introduction of interest income for as long as the cap binds — see row 72</t>
  </si>
  <si>
    <t>4.  Net Working Capital Build  —  driver-based, calibrated to the audited FY2025A balance sheet  (replaces the 8%-of-Δrevenue plug)</t>
  </si>
  <si>
    <t>Accounts receivable, net</t>
  </si>
  <si>
    <t>Blue — DISCLOSED ACTUAL, $555,995k per the audited FY2025 balance sheet. The trade receivable, the dominant working-capital account in a professional-services firm</t>
  </si>
  <si>
    <t>Other current assets</t>
  </si>
  <si>
    <t>Blue — DISCLOSED ACTUAL, $79,693k. Prepaids and other operating current assets</t>
  </si>
  <si>
    <t>Accounts payable</t>
  </si>
  <si>
    <t>Blue — DISCLOSED ACTUAL, $90,934k</t>
  </si>
  <si>
    <t>Accrued personnel costs</t>
  </si>
  <si>
    <t>Blue — DISCLOSED ACTUAL, $197,534k. Accrued compensation and bonus; the natural offset to receivable growth in a people business</t>
  </si>
  <si>
    <t>Other current liabilities</t>
  </si>
  <si>
    <t>Blue — DISCLOSED ACTUAL, $68,299k</t>
  </si>
  <si>
    <t>=  OPERATING NET WORKING CAPITAL  (FY2025A, audited)</t>
  </si>
  <si>
    <t>= receivables + other current assets − payables − accrued personnel − other current liabilities. DELIBERATELY EXCLUDED: cash and restricted cash, funds held for clients and the offsetting client fund obligations (a payroll pass-through that nets to ~$0.3M and is not sponsor working capital), income taxes payable (modelled separately in Tab 4), the contingent purchase-price liability (M&amp;A earn-outs, a financing item), lease liabilities (debt-like, IFRS/ASC 842) and short-term debt</t>
  </si>
  <si>
    <t xml:space="preserve">     (memo)  Operating NWC as % of FY2025A revenue</t>
  </si>
  <si>
    <t>Memo — the sanity anchor: if every ratio below is held flat, incremental NWC equals THIS percentage of incremental revenue. It is the audited replacement for the old 8.0% judgement plug</t>
  </si>
  <si>
    <t xml:space="preserve">     Calibrated drivers  —  computed off FY2025A, then held flat across the projection  (overwrite D:H to flex)</t>
  </si>
  <si>
    <t>Days sales outstanding  (DSO)  —  receivables ÷ revenue × 365</t>
  </si>
  <si>
    <t>= audited FY2025A receivables ÷ FY2025A revenue × 365. FY2024 is NOT a usable comparative: Marcum closed in November 2024, so the FY2024 year-end balance sheet carries 100% of Marcum's receivables against only ~2 months of Marcum revenue (an apparent 107.6 days). FY2025A is the first clean post-merger calibration year</t>
  </si>
  <si>
    <t>Other current assets  (% of revenue)</t>
  </si>
  <si>
    <t>Accounts payable  (% of revenue)</t>
  </si>
  <si>
    <t>Accrued personnel costs  (% of revenue)</t>
  </si>
  <si>
    <t>Held flat as a share of revenue, i.e. accrued compensation grows with the business and partly funds receivable growth — the reason net working-capital intensity in this model is ~10% of incremental revenue rather than the ~20% a receivables-only view would imply</t>
  </si>
  <si>
    <t>Other current liabilities  (% of revenue)</t>
  </si>
  <si>
    <t xml:space="preserve">     Projected operating working-capital balances  ($M)</t>
  </si>
  <si>
    <t>Less:  accounts payable</t>
  </si>
  <si>
    <t>Less:  accrued personnel costs</t>
  </si>
  <si>
    <t>Less:  other current liabilities</t>
  </si>
  <si>
    <t>=  OPERATING NET WORKING CAPITAL</t>
  </si>
  <si>
    <t>=  Δ NET WORKING CAPITAL   (an increase is a cash OUTFLOW)   →  drives row 31</t>
  </si>
  <si>
    <t>= year-on-year change in the balance above. This is the figure row 31 now uses. Because every driver is held flat as a share of revenue, it collapses to (operating NWC % of revenue) × Δrevenue — but it is now BUILT from audited balances rather than asserted, and each component can be flexed independently (e.g. a 5-day DSO improvement under sponsor ownership)</t>
  </si>
  <si>
    <t xml:space="preserve">     (memo)  Implied incremental NWC as % of Δ revenue   —   vs. the 8.0% plug it replaces</t>
  </si>
  <si>
    <t>Memo — reads 10.1% against the 8.0% analyst plug previously used. The audited build is therefore MORE conservative: it costs roughly $2.9M of FCF a year at the FY2026E revenue increment. The old estimate was in the right postcode, which is reassuring, but it is no longer load-bearing</t>
  </si>
  <si>
    <t>Check:  FY2025A NWC per this build − per the audited balance sheet  (must = 0)</t>
  </si>
  <si>
    <t>Integrity check — the projection's FY2025A anchor column must reproduce the audited balance sheet exactly</t>
  </si>
  <si>
    <t>= section 4 row 70 — the year-on-year change in a BUILT operating working-capital balance (receivables on DSO, other current assets, payables, accrued personnel and other current liabilities as a % of revenue), every ratio calibrated to the audited FY2025A balance sheet. Replaces the former 8.0%-of-Δrevenue analyst plug, which is retained as a grey memo in row 20 for comparison only</t>
  </si>
  <si>
    <t xml:space="preserve">     (memo, SUPERSEDED)  Legacy plug  —  incremental NWC as % of Δ revenue</t>
  </si>
  <si>
    <t>SUPERSEDED memo — no longer feeds the model. Replaced by the audited NWC build in section 4 (rows 46-72), which implies 10.1% rather than 8.0%. Kept for comparison</t>
  </si>
  <si>
    <t>Green link — '3 · Operating Model' row 31, × the period factor in row 102. That row now reads the DRIVER-BASED working-capital build in section 4 of Tab 3 (receivables on 73.6 days DSO plus other current assets, less payables, accrued personnel costs and other current liabilities, every ratio calibrated to the audited FY2025A balance sheet), implying 10.1% of incremental revenue. It replaces the former unsourced 8.0%-of-Δrevenue analyst plug</t>
  </si>
  <si>
    <t>= opening cash + net change. Under the leverage step-down this GROWS each year as the sweep steps down (see the FY2030E balance in G52); it stayed pinned at the $18.3M retained at close under the old flat 100% sweep. Section 10 now earns interest income on it</t>
  </si>
  <si>
    <t>Green link — '4 · Debt Schedule &amp; FCF' C106: the ACTUAL calendar hold, (exit date − close date) ÷ 365, no longer a hardcoded 5.0. This is what makes the MOIC^(1/n) IRR in C20 reconcile to the dated XIRR in section 8</t>
  </si>
  <si>
    <t>= days ÷ 365. This now EQUALS the hold in C6, which links to '4 · Debt Schedule &amp; FCF' C106 rather than a hardcoded 5.0 — which is why rows 90 and 92 are nil</t>
  </si>
  <si>
    <t>Residual only — nil. Previously this line carried the whole stub-period distortion (a ~3.7pt gap between the headline and the dated XIRR). Both conventions now annualise over the same actual hold AND the FY2026E stub is scaled in Tab 4 section 9, so nothing is left to reconcile</t>
  </si>
  <si>
    <t>Green link — '4 · Debt Schedule &amp; FCF' G56, the FY2030E closing cash balance. Under the leverage-based sweep step-down the sweep no longer absorbs all excess FCF, so cash builds from the amount retained at close (and now earns interest income in Tab 4 section 10). Held flat across the grid columns because the column shift is applied to the sweep, not to the cash rollforward — a known simplification: a lower-EBITDA column would in reality also build less cash</t>
  </si>
  <si>
    <t>Five-FISCAL-year compound growth on the revenue line (FY2025A → FY2030E). This is an operating CAGR on full fiscal years and is deliberately NOT the ownership period — the sponsor holds the asset for 4.05 calendar years because FY2026E is a stub</t>
  </si>
  <si>
    <t>Cumulative pre-financing operating cash flow, ownership period only</t>
  </si>
  <si>
    <t>Cash available to service debt before interest and taxes — feeds the Step 4 sweep. Now weighted by the period factors in '4 · Debt Schedule &amp; FCF' row 102, so the FY2026E column contributes only the stub the sponsor owns. On a full-fiscal-year basis this memo would read materially higher; that difference is precisely the over-statement the stub fix removes</t>
  </si>
  <si>
    <t xml:space="preserve">     Column layout for this section  —  FY2025A = audited actual, FY2026E–FY2030E = projected</t>
  </si>
  <si>
    <t>Value / FY2026E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</si>
</sst>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0.00"/>
    <numFmt numFmtId="165" formatCode="\$#,##0"/>
    <numFmt numFmtId="166" formatCode="0.0%"/>
    <numFmt numFmtId="167" formatCode="\$#,##0.0"/>
    <numFmt numFmtId="168" formatCode="0.0\x"/>
    <numFmt numFmtId="169" formatCode="0.0&quot;x&quot;"/>
    <numFmt numFmtId="170" formatCode="\$#,##0.0;\(\$#,##0.0\)"/>
    <numFmt numFmtId="171" formatCode="&quot;$&quot;#,##0.0"/>
    <numFmt numFmtId="172" formatCode="&quot;$&quot;#,##0.0;\(&quot;$&quot;#,##0.0\);&quot;✓  0.0&quot;"/>
    <numFmt numFmtId="173" formatCode="&quot;$&quot;#,##0.0;\(&quot;$&quot;#,##0.0\)"/>
    <numFmt numFmtId="174" formatCode="0.0%;\(0.0%\)"/>
    <numFmt numFmtId="175" formatCode="&quot;$&quot;#,##0.0;\(&quot;$&quot;#,##0.0\);&quot;–&quot;"/>
    <numFmt numFmtId="176" formatCode="0.00&quot;x&quot;"/>
    <numFmt numFmtId="177" formatCode="\+0%;\-0%;&quot;Base&quot;"/>
    <numFmt numFmtId="178" formatCode="&quot;$&quot;#,##0.00"/>
    <numFmt numFmtId="179" formatCode="&quot;$&quot;#,##0.0;\(&quot;$&quot;#,##0.0\);&quot;-&quot;"/>
    <numFmt numFmtId="180" formatCode="#,##0.0"/>
    <numFmt numFmtId="181" formatCode="0.0&quot; yrs&quot;"/>
    <numFmt numFmtId="182" formatCode="\+0%;\-0%;0%"/>
    <numFmt numFmtId="183" formatCode="0.00%;\-0.00%;0.00%"/>
    <numFmt numFmtId="184" formatCode="0.0%;\(0.0%\);&quot;–&quot;"/>
    <numFmt numFmtId="185" formatCode="dd\-mmm\-yyyy"/>
    <numFmt numFmtId="186" formatCode="0.00&quot; yrs&quot;"/>
    <numFmt numFmtId="187" formatCode="0.00%;\(0.00%\);&quot;✓  0.00%&quot;"/>
    <numFmt numFmtId="188" formatCode="&quot;$&quot;#,##0.0;\(&quot;$&quot;#,##0.0\);&quot;✓  $0.0&quot;"/>
    <numFmt numFmtId="189" formatCode="#,##0&quot; days&quot;"/>
    <numFmt numFmtId="190" formatCode="#,##0&quot; days&quot;;\(#,##0\)&quot; days&quot;;&quot;✓  0 days&quot;"/>
    <numFmt numFmtId="191" formatCode="0.0&quot; days&quot;"/>
  </numFmts>
  <fonts count="41" x14ac:knownFonts="1">
    <font>
      <sz val="11"/>
      <color theme="1"/>
      <name val="Calibri"/>
      <family val="2"/>
      <charset val="1"/>
    </font>
    <font>
      <sz val="10"/>
      <name val="Arial"/>
      <family val="2"/>
    </font>
    <font>
      <b/>
      <sz val="13"/>
      <color rgb="FFFFFFFF"/>
      <name val="Arial"/>
      <family val="2"/>
    </font>
    <font>
      <i/>
      <sz val="9"/>
      <color rgb="FFFFFFFF"/>
      <name val="Arial"/>
      <family val="2"/>
    </font>
    <font>
      <i/>
      <sz val="8"/>
      <color rgb="FF000000"/>
      <name val="Arial"/>
      <family val="2"/>
    </font>
    <font>
      <b/>
      <sz val="10"/>
      <color rgb="FF000000"/>
      <name val="Arial"/>
      <family val="2"/>
    </font>
    <font>
      <b/>
      <sz val="10"/>
      <color rgb="FFFFFFFF"/>
      <name val="Arial"/>
      <family val="2"/>
    </font>
    <font>
      <sz val="10"/>
      <color rgb="FF000000"/>
      <name val="Arial"/>
      <family val="2"/>
    </font>
    <font>
      <sz val="10"/>
      <color rgb="FF0000FF"/>
      <name val="Arial"/>
      <family val="2"/>
    </font>
    <font>
      <i/>
      <sz val="8"/>
      <color rgb="FF808080"/>
      <name val="Arial"/>
      <family val="2"/>
    </font>
    <font>
      <sz val="10"/>
      <color theme="1"/>
      <name val="Arial"/>
      <family val="2"/>
    </font>
    <font>
      <b/>
      <sz val="10"/>
      <color theme="1"/>
      <name val="Arial"/>
      <family val="2"/>
    </font>
    <font>
      <i/>
      <sz val="8"/>
      <color theme="1"/>
      <name val="Arial"/>
      <family val="2"/>
    </font>
    <font>
      <sz val="10"/>
      <color rgb="FF008000"/>
      <name val="Arial"/>
      <family val="2"/>
    </font>
    <font>
      <b/>
      <i/>
      <sz val="8"/>
      <color rgb="FFFFFFFF"/>
      <name val="Arial"/>
      <family val="2"/>
    </font>
    <font>
      <b/>
      <i/>
      <sz val="8"/>
      <color rgb="FF808080"/>
      <name val="Arial"/>
      <family val="2"/>
    </font>
    <font>
      <sz val="9"/>
      <color indexed="81"/>
      <name val="Tahoma"/>
      <family val="2"/>
    </font>
    <font>
      <b/>
      <sz val="9"/>
      <color indexed="81"/>
      <name val="Tahoma"/>
      <family val="2"/>
    </font>
    <font>
      <i/>
      <sz val="10"/>
      <color rgb="FF808080"/>
      <name val="Arial"/>
      <family val="2"/>
    </font>
    <font>
      <sz val="9"/>
      <color theme="1"/>
      <name val="Arial"/>
      <family val="2"/>
    </font>
    <font>
      <b/>
      <sz val="14"/>
      <color rgb="FFFFFFFF"/>
      <name val="Arial"/>
      <family val="2"/>
    </font>
    <font>
      <sz val="10"/>
      <color rgb="FFD6DCE4"/>
      <name val="Arial"/>
      <family val="2"/>
    </font>
    <font>
      <b/>
      <sz val="9.5"/>
      <color rgb="FFFFFFFF"/>
      <name val="Arial"/>
      <family val="2"/>
    </font>
    <font>
      <sz val="9"/>
      <color rgb="FF333333"/>
      <name val="Arial"/>
      <family val="2"/>
    </font>
    <font>
      <sz val="9"/>
      <color rgb="FF008000"/>
      <name val="Arial"/>
      <family val="2"/>
    </font>
    <font>
      <i/>
      <sz val="9"/>
      <color rgb="FF1F3864"/>
      <name val="Arial"/>
      <family val="2"/>
    </font>
    <font>
      <b/>
      <sz val="9"/>
      <color rgb="FF008000"/>
      <name val="Arial"/>
      <family val="2"/>
    </font>
    <font>
      <b/>
      <sz val="9"/>
      <color rgb="FF333333"/>
      <name val="Arial"/>
      <family val="2"/>
    </font>
    <font>
      <b/>
      <sz val="8"/>
      <color rgb="FF1F3864"/>
      <name val="Arial"/>
      <family val="2"/>
    </font>
    <font>
      <b/>
      <sz val="10"/>
      <color rgb="FF008000"/>
      <name val="Arial"/>
      <family val="2"/>
    </font>
    <font>
      <i/>
      <sz val="7.5"/>
      <color rgb="FF7F7F7F"/>
      <name val="Arial"/>
      <family val="2"/>
    </font>
    <font>
      <sz val="10"/>
      <color rgb="FFFFFFFF"/>
      <name val="Arial"/>
      <family val="2"/>
    </font>
    <font>
      <sz val="10"/>
      <color rgb="FF808080"/>
      <name val="Arial"/>
      <family val="2"/>
    </font>
    <font>
      <b/>
      <sz val="10"/>
      <color rgb="FF0000FF"/>
      <name val="Arial"/>
      <family val="2"/>
    </font>
    <font>
      <b/>
      <i/>
      <sz val="10"/>
      <color rgb="FF808080"/>
      <name val="Arial"/>
      <family val="2"/>
    </font>
    <font>
      <b/>
      <i/>
      <sz val="9"/>
      <color rgb="FF1F2A44"/>
      <name val="Arial"/>
      <family val="2"/>
    </font>
    <font>
      <i/>
      <sz val="11"/>
      <color theme="1"/>
      <name val="Calibri"/>
      <family val="2"/>
      <charset val="1"/>
    </font>
    <font>
      <i/>
      <sz val="9"/>
      <color rgb="FF808080"/>
      <name val="Arial"/>
      <family val="2"/>
    </font>
    <font>
      <b/>
      <i/>
      <sz val="9"/>
      <color rgb="FF808080"/>
      <name val="Arial"/>
      <family val="2"/>
    </font>
    <font>
      <b/>
      <i/>
      <sz val="10"/>
      <color rgb="FFFFFFFF"/>
      <name val="Arial"/>
      <family val="2"/>
    </font>
    <font>
      <i/>
      <sz val="10"/>
      <color rgb="FF000000"/>
      <name val="Arial"/>
      <family val="2"/>
    </font>
  </fonts>
  <fills count="12">
    <fill>
      <patternFill patternType="none"/>
    </fill>
    <fill>
      <patternFill patternType="gray125"/>
    </fill>
    <fill>
      <patternFill patternType="solid">
        <fgColor rgb="FF1F2A44"/>
        <bgColor rgb="FF003366"/>
      </patternFill>
    </fill>
    <fill>
      <patternFill patternType="solid">
        <fgColor rgb="FFF2F2F2"/>
        <bgColor rgb="FFFFFFFF"/>
      </patternFill>
    </fill>
    <fill>
      <patternFill patternType="solid">
        <fgColor rgb="FFC9A227"/>
        <bgColor rgb="FF99CC00"/>
      </patternFill>
    </fill>
    <fill>
      <patternFill patternType="solid">
        <fgColor rgb="FF1F2A44"/>
        <bgColor indexed="64"/>
      </patternFill>
    </fill>
    <fill>
      <patternFill patternType="solid">
        <fgColor rgb="FFC9A227"/>
        <bgColor indexed="64"/>
      </patternFill>
    </fill>
    <fill>
      <patternFill patternType="solid">
        <fgColor rgb="FFFFF2CC"/>
        <bgColor indexed="64"/>
      </patternFill>
    </fill>
    <fill>
      <patternFill patternType="solid">
        <fgColor rgb="FF1F3864"/>
        <bgColor indexed="64"/>
      </patternFill>
    </fill>
    <fill>
      <patternFill patternType="solid">
        <fgColor rgb="FFBF9000"/>
        <bgColor indexed="64"/>
      </patternFill>
    </fill>
    <fill>
      <patternFill patternType="solid">
        <fgColor rgb="FFF2F2F2"/>
        <bgColor indexed="64"/>
      </patternFill>
    </fill>
    <fill>
      <patternFill patternType="solid">
        <fgColor rgb="FFFFFF00"/>
        <bgColor indexed="64"/>
      </patternFill>
    </fill>
  </fills>
  <borders count="13">
    <border>
      <left/>
      <right/>
      <top/>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1F3864"/>
      </bottom>
      <diagonal/>
    </border>
    <border>
      <left/>
      <right/>
      <top/>
      <bottom style="thin">
        <color rgb="FFBF9000"/>
      </bottom>
      <diagonal/>
    </border>
    <border>
      <left style="thin">
        <color rgb="FFBF9000"/>
      </left>
      <right/>
      <top/>
      <bottom style="thin">
        <color rgb="FFBF9000"/>
      </bottom>
      <diagonal/>
    </border>
    <border>
      <left style="thin">
        <color rgb="FFBF9000"/>
      </left>
      <right/>
      <top/>
      <bottom/>
      <diagonal/>
    </border>
    <border>
      <left/>
      <right style="thin">
        <color rgb="FFBF9000"/>
      </right>
      <top/>
      <bottom/>
      <diagonal/>
    </border>
    <border>
      <left/>
      <right style="thin">
        <color rgb="FFBF9000"/>
      </right>
      <top/>
      <bottom style="thin">
        <color rgb="FFBF9000"/>
      </bottom>
      <diagonal/>
    </border>
    <border>
      <left/>
      <right/>
      <top style="thin">
        <color rgb="FFBFBFBF"/>
      </top>
      <bottom/>
      <diagonal/>
    </border>
    <border>
      <left style="thin">
        <color rgb="FFD0CECE"/>
      </left>
      <right style="thin">
        <color rgb="FFD0CECE"/>
      </right>
      <top style="thin">
        <color rgb="FFD0CECE"/>
      </top>
      <bottom/>
      <diagonal/>
    </border>
    <border>
      <left style="thin">
        <color rgb="FFD0CECE"/>
      </left>
      <right style="thin">
        <color rgb="FFD0CECE"/>
      </right>
      <top/>
      <bottom style="thin">
        <color rgb="FFD0CECE"/>
      </bottom>
      <diagonal/>
    </border>
  </borders>
  <cellStyleXfs count="1">
    <xf numFmtId="0" fontId="0" fillId="0" borderId="0"/>
  </cellStyleXfs>
  <cellXfs count="262">
    <xf numFmtId="0" fontId="0" fillId="0" borderId="0" xfId="0"/>
    <xf numFmtId="0" fontId="5" fillId="3" borderId="1" xfId="0" applyFont="1" applyFill="1" applyBorder="1"/>
    <xf numFmtId="0" fontId="5" fillId="3" borderId="1" xfId="0" applyFont="1" applyFill="1" applyBorder="1" applyAlignment="1">
      <alignment horizontal="right"/>
    </xf>
    <xf numFmtId="0" fontId="7" fillId="0" borderId="1" xfId="0" applyFont="1" applyBorder="1"/>
    <xf numFmtId="164" fontId="8" fillId="0" borderId="1" xfId="0" applyNumberFormat="1" applyFont="1" applyBorder="1" applyAlignment="1">
      <alignment horizontal="right"/>
    </xf>
    <xf numFmtId="0" fontId="9" fillId="0" borderId="1" xfId="0" applyFont="1" applyBorder="1"/>
    <xf numFmtId="165" fontId="8" fillId="0" borderId="1" xfId="0" applyNumberFormat="1" applyFont="1" applyBorder="1" applyAlignment="1">
      <alignment horizontal="right"/>
    </xf>
    <xf numFmtId="166" fontId="8" fillId="0" borderId="1" xfId="0" applyNumberFormat="1" applyFont="1" applyBorder="1" applyAlignment="1">
      <alignment horizontal="right"/>
    </xf>
    <xf numFmtId="167" fontId="8" fillId="0" borderId="1" xfId="0" applyNumberFormat="1" applyFont="1" applyBorder="1" applyAlignment="1">
      <alignment horizontal="right"/>
    </xf>
    <xf numFmtId="0" fontId="8" fillId="0" borderId="1" xfId="0" applyFont="1" applyBorder="1" applyAlignment="1">
      <alignment horizontal="right"/>
    </xf>
    <xf numFmtId="0" fontId="5" fillId="0" borderId="1" xfId="0" applyFont="1" applyBorder="1"/>
    <xf numFmtId="167" fontId="5" fillId="0" borderId="1" xfId="0" applyNumberFormat="1" applyFont="1" applyBorder="1" applyAlignment="1">
      <alignment horizontal="right"/>
    </xf>
    <xf numFmtId="4" fontId="8" fillId="0" borderId="1" xfId="0" applyNumberFormat="1" applyFont="1" applyBorder="1" applyAlignment="1">
      <alignment horizontal="right"/>
    </xf>
    <xf numFmtId="165" fontId="7" fillId="0" borderId="1" xfId="0" applyNumberFormat="1" applyFont="1" applyBorder="1" applyAlignment="1">
      <alignment horizontal="right"/>
    </xf>
    <xf numFmtId="167" fontId="7" fillId="0" borderId="1" xfId="0" applyNumberFormat="1" applyFont="1" applyBorder="1" applyAlignment="1">
      <alignment horizontal="right"/>
    </xf>
    <xf numFmtId="164" fontId="7" fillId="0" borderId="1" xfId="0" applyNumberFormat="1" applyFont="1" applyBorder="1" applyAlignment="1">
      <alignment horizontal="right"/>
    </xf>
    <xf numFmtId="4" fontId="5" fillId="0" borderId="1" xfId="0" applyNumberFormat="1" applyFont="1" applyBorder="1" applyAlignment="1">
      <alignment horizontal="right"/>
    </xf>
    <xf numFmtId="168" fontId="5" fillId="0" borderId="1" xfId="0" applyNumberFormat="1" applyFont="1" applyBorder="1" applyAlignment="1">
      <alignment horizontal="right"/>
    </xf>
    <xf numFmtId="0" fontId="10" fillId="0" borderId="0" xfId="0" applyFont="1"/>
    <xf numFmtId="0" fontId="12" fillId="0" borderId="0" xfId="0" applyFont="1" applyAlignment="1">
      <alignment horizontal="left"/>
    </xf>
    <xf numFmtId="0" fontId="6" fillId="6" borderId="0" xfId="0" applyFont="1" applyFill="1" applyAlignment="1">
      <alignment horizontal="left"/>
    </xf>
    <xf numFmtId="0" fontId="10" fillId="0" borderId="0" xfId="0" applyFont="1" applyAlignment="1">
      <alignment horizontal="right"/>
    </xf>
    <xf numFmtId="0" fontId="6" fillId="6" borderId="0" xfId="0" applyFont="1" applyFill="1" applyAlignment="1">
      <alignment horizontal="right"/>
    </xf>
    <xf numFmtId="0" fontId="14" fillId="6" borderId="0" xfId="0" applyFont="1" applyFill="1" applyAlignment="1">
      <alignment horizontal="left"/>
    </xf>
    <xf numFmtId="0" fontId="9" fillId="0" borderId="0" xfId="0" applyFont="1"/>
    <xf numFmtId="0" fontId="15" fillId="6" borderId="0" xfId="0" applyFont="1" applyFill="1" applyAlignment="1">
      <alignment horizontal="left"/>
    </xf>
    <xf numFmtId="0" fontId="10" fillId="0" borderId="2" xfId="0" applyFont="1" applyBorder="1"/>
    <xf numFmtId="164" fontId="13" fillId="0" borderId="2" xfId="0" applyNumberFormat="1" applyFont="1" applyBorder="1" applyAlignment="1">
      <alignment horizontal="right"/>
    </xf>
    <xf numFmtId="0" fontId="9" fillId="0" borderId="2" xfId="0" applyFont="1" applyBorder="1"/>
    <xf numFmtId="0" fontId="13" fillId="0" borderId="2" xfId="0" applyFont="1" applyBorder="1" applyAlignment="1">
      <alignment horizontal="right"/>
    </xf>
    <xf numFmtId="167" fontId="13" fillId="0" borderId="2" xfId="0" applyNumberFormat="1" applyFont="1" applyBorder="1" applyAlignment="1">
      <alignment horizontal="right"/>
    </xf>
    <xf numFmtId="0" fontId="11" fillId="0" borderId="2" xfId="0" quotePrefix="1" applyFont="1" applyBorder="1"/>
    <xf numFmtId="167" fontId="5" fillId="0" borderId="2" xfId="0" applyNumberFormat="1" applyFont="1" applyBorder="1" applyAlignment="1">
      <alignment horizontal="right"/>
    </xf>
    <xf numFmtId="4" fontId="5" fillId="0" borderId="2" xfId="0" applyNumberFormat="1" applyFont="1" applyBorder="1" applyAlignment="1">
      <alignment horizontal="right"/>
    </xf>
    <xf numFmtId="167" fontId="7" fillId="0" borderId="2" xfId="0" applyNumberFormat="1" applyFont="1" applyBorder="1" applyAlignment="1">
      <alignment horizontal="right"/>
    </xf>
    <xf numFmtId="0" fontId="11" fillId="0" borderId="2" xfId="0" applyFont="1" applyBorder="1"/>
    <xf numFmtId="169" fontId="5" fillId="0" borderId="2" xfId="0" applyNumberFormat="1" applyFont="1" applyBorder="1" applyAlignment="1">
      <alignment horizontal="right"/>
    </xf>
    <xf numFmtId="164" fontId="7" fillId="0" borderId="2" xfId="0" applyNumberFormat="1" applyFont="1" applyBorder="1" applyAlignment="1">
      <alignment horizontal="right"/>
    </xf>
    <xf numFmtId="166" fontId="13" fillId="0" borderId="2" xfId="0" applyNumberFormat="1" applyFont="1" applyBorder="1" applyAlignment="1">
      <alignment horizontal="right"/>
    </xf>
    <xf numFmtId="170" fontId="13" fillId="0" borderId="2" xfId="0" applyNumberFormat="1" applyFont="1" applyBorder="1" applyAlignment="1">
      <alignment horizontal="right"/>
    </xf>
    <xf numFmtId="169" fontId="8" fillId="0" borderId="2" xfId="0" applyNumberFormat="1" applyFont="1" applyBorder="1" applyAlignment="1">
      <alignment horizontal="right"/>
    </xf>
    <xf numFmtId="166" fontId="8" fillId="0" borderId="2" xfId="0" applyNumberFormat="1" applyFont="1" applyBorder="1" applyAlignment="1">
      <alignment horizontal="right"/>
    </xf>
    <xf numFmtId="171" fontId="8" fillId="0" borderId="2" xfId="0" applyNumberFormat="1" applyFont="1" applyBorder="1" applyAlignment="1">
      <alignment horizontal="right"/>
    </xf>
    <xf numFmtId="171" fontId="13" fillId="0" borderId="2" xfId="0" applyNumberFormat="1" applyFont="1" applyBorder="1" applyAlignment="1">
      <alignment horizontal="right"/>
    </xf>
    <xf numFmtId="171" fontId="7" fillId="0" borderId="2" xfId="0" applyNumberFormat="1" applyFont="1" applyBorder="1" applyAlignment="1">
      <alignment horizontal="right"/>
    </xf>
    <xf numFmtId="0" fontId="9" fillId="0" borderId="2" xfId="0" quotePrefix="1" applyFont="1" applyBorder="1"/>
    <xf numFmtId="171" fontId="5" fillId="0" borderId="2" xfId="0" applyNumberFormat="1" applyFont="1" applyBorder="1" applyAlignment="1">
      <alignment horizontal="right"/>
    </xf>
    <xf numFmtId="172" fontId="5" fillId="0" borderId="2" xfId="0" applyNumberFormat="1" applyFont="1" applyBorder="1" applyAlignment="1">
      <alignment horizontal="right"/>
    </xf>
    <xf numFmtId="169" fontId="7" fillId="0" borderId="2" xfId="0" applyNumberFormat="1" applyFont="1" applyBorder="1" applyAlignment="1">
      <alignment horizontal="right"/>
    </xf>
    <xf numFmtId="166" fontId="7" fillId="0" borderId="2" xfId="0" applyNumberFormat="1" applyFont="1" applyBorder="1" applyAlignment="1">
      <alignment horizontal="right"/>
    </xf>
    <xf numFmtId="173" fontId="7" fillId="0" borderId="2" xfId="0" applyNumberFormat="1" applyFont="1" applyBorder="1" applyAlignment="1">
      <alignment horizontal="right"/>
    </xf>
    <xf numFmtId="174" fontId="7" fillId="0" borderId="2" xfId="0" applyNumberFormat="1" applyFont="1" applyBorder="1" applyAlignment="1">
      <alignment horizontal="right"/>
    </xf>
    <xf numFmtId="0" fontId="9" fillId="0" borderId="0" xfId="0" applyFont="1" applyAlignment="1">
      <alignment horizontal="left"/>
    </xf>
    <xf numFmtId="0" fontId="7" fillId="0" borderId="0" xfId="0" applyFont="1" applyAlignment="1">
      <alignment horizontal="left"/>
    </xf>
    <xf numFmtId="166" fontId="8" fillId="0" borderId="0" xfId="0" applyNumberFormat="1" applyFont="1" applyAlignment="1">
      <alignment horizontal="right"/>
    </xf>
    <xf numFmtId="0" fontId="7" fillId="0" borderId="1" xfId="0" applyFont="1" applyBorder="1" applyAlignment="1">
      <alignment horizontal="left"/>
    </xf>
    <xf numFmtId="0" fontId="10" fillId="0" borderId="1" xfId="0" applyFont="1" applyBorder="1"/>
    <xf numFmtId="0" fontId="9" fillId="0" borderId="1" xfId="0" applyFont="1" applyBorder="1" applyAlignment="1">
      <alignment horizontal="left"/>
    </xf>
    <xf numFmtId="0" fontId="18" fillId="0" borderId="0" xfId="0" applyFont="1" applyAlignment="1">
      <alignment horizontal="left"/>
    </xf>
    <xf numFmtId="166" fontId="18" fillId="0" borderId="0" xfId="0" applyNumberFormat="1" applyFont="1" applyAlignment="1">
      <alignment horizontal="right"/>
    </xf>
    <xf numFmtId="171" fontId="13" fillId="0" borderId="0" xfId="0" applyNumberFormat="1" applyFont="1" applyAlignment="1">
      <alignment horizontal="right"/>
    </xf>
    <xf numFmtId="171" fontId="7" fillId="0" borderId="0" xfId="0" applyNumberFormat="1" applyFont="1" applyAlignment="1">
      <alignment horizontal="right"/>
    </xf>
    <xf numFmtId="0" fontId="5" fillId="0" borderId="0" xfId="0" quotePrefix="1" applyFont="1" applyAlignment="1">
      <alignment horizontal="left"/>
    </xf>
    <xf numFmtId="171" fontId="5" fillId="0" borderId="0" xfId="0" applyNumberFormat="1" applyFont="1" applyAlignment="1">
      <alignment horizontal="right"/>
    </xf>
    <xf numFmtId="0" fontId="9" fillId="0" borderId="0" xfId="0" quotePrefix="1" applyFont="1" applyAlignment="1">
      <alignment horizontal="left"/>
    </xf>
    <xf numFmtId="0" fontId="11" fillId="0" borderId="1" xfId="0" quotePrefix="1" applyFont="1" applyBorder="1"/>
    <xf numFmtId="171" fontId="5" fillId="0" borderId="1" xfId="0" applyNumberFormat="1" applyFont="1" applyBorder="1" applyAlignment="1">
      <alignment horizontal="right"/>
    </xf>
    <xf numFmtId="0" fontId="9" fillId="0" borderId="1" xfId="0" quotePrefix="1" applyFont="1" applyBorder="1" applyAlignment="1">
      <alignment horizontal="left"/>
    </xf>
    <xf numFmtId="166" fontId="7" fillId="0" borderId="0" xfId="0" applyNumberFormat="1" applyFont="1" applyAlignment="1">
      <alignment horizontal="right"/>
    </xf>
    <xf numFmtId="0" fontId="5" fillId="0" borderId="1" xfId="0" applyFont="1" applyBorder="1" applyAlignment="1">
      <alignment horizontal="left"/>
    </xf>
    <xf numFmtId="0" fontId="6" fillId="6" borderId="1" xfId="0" applyFont="1" applyFill="1" applyBorder="1" applyAlignment="1">
      <alignment horizontal="left"/>
    </xf>
    <xf numFmtId="49" fontId="6" fillId="6" borderId="1" xfId="0" applyNumberFormat="1" applyFont="1" applyFill="1" applyBorder="1" applyAlignment="1">
      <alignment horizontal="right"/>
    </xf>
    <xf numFmtId="0" fontId="14" fillId="6" borderId="1" xfId="0" applyFont="1" applyFill="1" applyBorder="1" applyAlignment="1">
      <alignment horizontal="left"/>
    </xf>
    <xf numFmtId="0" fontId="6" fillId="6" borderId="1" xfId="0" applyFont="1" applyFill="1" applyBorder="1" applyAlignment="1">
      <alignment horizontal="right"/>
    </xf>
    <xf numFmtId="0" fontId="6" fillId="6" borderId="1" xfId="0" applyFont="1" applyFill="1" applyBorder="1"/>
    <xf numFmtId="0" fontId="2" fillId="5" borderId="0" xfId="0" applyFont="1" applyFill="1" applyAlignment="1">
      <alignment horizontal="left"/>
    </xf>
    <xf numFmtId="0" fontId="3" fillId="5" borderId="0" xfId="0" applyFont="1" applyFill="1" applyAlignment="1">
      <alignment horizontal="left"/>
    </xf>
    <xf numFmtId="0" fontId="4" fillId="0" borderId="0" xfId="0" applyFont="1" applyAlignment="1">
      <alignment horizontal="left"/>
    </xf>
    <xf numFmtId="0" fontId="7" fillId="0" borderId="0" xfId="0" applyFont="1"/>
    <xf numFmtId="0" fontId="5" fillId="0" borderId="0" xfId="0" quotePrefix="1" applyFont="1"/>
    <xf numFmtId="0" fontId="5" fillId="0" borderId="0" xfId="0" applyFont="1"/>
    <xf numFmtId="0" fontId="2" fillId="5" borderId="0" xfId="0" applyFont="1" applyFill="1"/>
    <xf numFmtId="0" fontId="3" fillId="5" borderId="0" xfId="0" applyFont="1" applyFill="1"/>
    <xf numFmtId="0" fontId="4" fillId="0" borderId="0" xfId="0" applyFont="1"/>
    <xf numFmtId="166" fontId="5" fillId="0" borderId="0" xfId="0" applyNumberFormat="1" applyFont="1" applyAlignment="1">
      <alignment horizontal="right"/>
    </xf>
    <xf numFmtId="175" fontId="7" fillId="0" borderId="0" xfId="0" applyNumberFormat="1" applyFont="1" applyAlignment="1">
      <alignment horizontal="right"/>
    </xf>
    <xf numFmtId="175" fontId="8" fillId="0" borderId="0" xfId="0" applyNumberFormat="1" applyFont="1" applyAlignment="1">
      <alignment horizontal="right"/>
    </xf>
    <xf numFmtId="166" fontId="13" fillId="0" borderId="0" xfId="0" applyNumberFormat="1" applyFont="1" applyAlignment="1">
      <alignment horizontal="right"/>
    </xf>
    <xf numFmtId="175" fontId="13" fillId="0" borderId="0" xfId="0" applyNumberFormat="1" applyFont="1" applyAlignment="1">
      <alignment horizontal="right"/>
    </xf>
    <xf numFmtId="175" fontId="5" fillId="0" borderId="0" xfId="0" applyNumberFormat="1" applyFont="1" applyAlignment="1">
      <alignment horizontal="right"/>
    </xf>
    <xf numFmtId="0" fontId="18" fillId="0" borderId="0" xfId="0" applyFont="1"/>
    <xf numFmtId="172" fontId="18" fillId="0" borderId="0" xfId="0" applyNumberFormat="1" applyFont="1" applyAlignment="1">
      <alignment horizontal="right"/>
    </xf>
    <xf numFmtId="169" fontId="7" fillId="0" borderId="0" xfId="0" applyNumberFormat="1" applyFont="1" applyAlignment="1">
      <alignment horizontal="right"/>
    </xf>
    <xf numFmtId="169" fontId="5" fillId="0" borderId="0" xfId="0" applyNumberFormat="1" applyFont="1" applyAlignment="1">
      <alignment horizontal="right"/>
    </xf>
    <xf numFmtId="0" fontId="5" fillId="0" borderId="1" xfId="0" quotePrefix="1" applyFont="1" applyBorder="1"/>
    <xf numFmtId="175" fontId="5" fillId="0" borderId="1" xfId="0" applyNumberFormat="1" applyFont="1" applyBorder="1" applyAlignment="1">
      <alignment horizontal="right"/>
    </xf>
    <xf numFmtId="0" fontId="6" fillId="6" borderId="0" xfId="0" applyFont="1" applyFill="1"/>
    <xf numFmtId="49" fontId="6" fillId="6" borderId="0" xfId="0" applyNumberFormat="1" applyFont="1" applyFill="1" applyAlignment="1">
      <alignment horizontal="right"/>
    </xf>
    <xf numFmtId="0" fontId="14" fillId="6" borderId="0" xfId="0" applyFont="1" applyFill="1"/>
    <xf numFmtId="0" fontId="7" fillId="0" borderId="3" xfId="0" applyFont="1" applyBorder="1" applyAlignment="1">
      <alignment horizontal="left"/>
    </xf>
    <xf numFmtId="166" fontId="8" fillId="0" borderId="3" xfId="0" applyNumberFormat="1" applyFont="1" applyBorder="1" applyAlignment="1">
      <alignment horizontal="right"/>
    </xf>
    <xf numFmtId="0" fontId="7" fillId="0" borderId="3" xfId="0" applyFont="1" applyBorder="1"/>
    <xf numFmtId="0" fontId="9" fillId="0" borderId="3" xfId="0" applyFont="1" applyBorder="1" applyAlignment="1">
      <alignment horizontal="left"/>
    </xf>
    <xf numFmtId="175" fontId="13" fillId="0" borderId="3" xfId="0" applyNumberFormat="1" applyFont="1" applyBorder="1" applyAlignment="1">
      <alignment horizontal="right"/>
    </xf>
    <xf numFmtId="175" fontId="7" fillId="0" borderId="3" xfId="0" applyNumberFormat="1" applyFont="1" applyBorder="1" applyAlignment="1">
      <alignment horizontal="right"/>
    </xf>
    <xf numFmtId="0" fontId="9" fillId="0" borderId="3" xfId="0" quotePrefix="1" applyFont="1" applyBorder="1" applyAlignment="1">
      <alignment horizontal="left"/>
    </xf>
    <xf numFmtId="169" fontId="8" fillId="0" borderId="0" xfId="0" applyNumberFormat="1" applyFont="1" applyAlignment="1">
      <alignment horizontal="right"/>
    </xf>
    <xf numFmtId="169" fontId="13" fillId="0" borderId="0" xfId="0" applyNumberFormat="1" applyFont="1" applyAlignment="1">
      <alignment horizontal="right"/>
    </xf>
    <xf numFmtId="169" fontId="10" fillId="0" borderId="0" xfId="0" applyNumberFormat="1" applyFont="1" applyAlignment="1">
      <alignment horizontal="right"/>
    </xf>
    <xf numFmtId="0" fontId="9" fillId="0" borderId="0" xfId="0" quotePrefix="1" applyFont="1"/>
    <xf numFmtId="0" fontId="11" fillId="0" borderId="0" xfId="0" quotePrefix="1" applyFont="1"/>
    <xf numFmtId="175" fontId="11" fillId="0" borderId="0" xfId="0" applyNumberFormat="1" applyFont="1" applyAlignment="1">
      <alignment horizontal="right"/>
    </xf>
    <xf numFmtId="0" fontId="11" fillId="0" borderId="0" xfId="0" applyFont="1"/>
    <xf numFmtId="176" fontId="11" fillId="0" borderId="0" xfId="0" applyNumberFormat="1" applyFont="1" applyAlignment="1">
      <alignment horizontal="right"/>
    </xf>
    <xf numFmtId="175" fontId="10" fillId="0" borderId="0" xfId="0" applyNumberFormat="1" applyFont="1" applyAlignment="1">
      <alignment horizontal="right"/>
    </xf>
    <xf numFmtId="166" fontId="10" fillId="0" borderId="0" xfId="0" applyNumberFormat="1" applyFont="1" applyAlignment="1">
      <alignment horizontal="right"/>
    </xf>
    <xf numFmtId="177" fontId="8" fillId="0" borderId="0" xfId="0" applyNumberFormat="1" applyFont="1" applyAlignment="1">
      <alignment horizontal="right"/>
    </xf>
    <xf numFmtId="171" fontId="18" fillId="0" borderId="0" xfId="0" applyNumberFormat="1" applyFont="1" applyAlignment="1">
      <alignment horizontal="right"/>
    </xf>
    <xf numFmtId="169" fontId="8" fillId="7" borderId="0" xfId="0" applyNumberFormat="1" applyFont="1" applyFill="1" applyAlignment="1">
      <alignment horizontal="right"/>
    </xf>
    <xf numFmtId="175" fontId="10" fillId="7" borderId="0" xfId="0" applyNumberFormat="1" applyFont="1" applyFill="1" applyAlignment="1">
      <alignment horizontal="right"/>
    </xf>
    <xf numFmtId="0" fontId="10" fillId="5" borderId="0" xfId="0" applyFont="1" applyFill="1"/>
    <xf numFmtId="0" fontId="11" fillId="0" borderId="1" xfId="0" applyFont="1" applyBorder="1"/>
    <xf numFmtId="166" fontId="11" fillId="0" borderId="1" xfId="0" applyNumberFormat="1" applyFont="1" applyBorder="1" applyAlignment="1">
      <alignment horizontal="right"/>
    </xf>
    <xf numFmtId="0" fontId="9" fillId="0" borderId="1" xfId="0" quotePrefix="1" applyFont="1" applyBorder="1"/>
    <xf numFmtId="169" fontId="8" fillId="0" borderId="1" xfId="0" applyNumberFormat="1" applyFont="1" applyBorder="1" applyAlignment="1">
      <alignment horizontal="right"/>
    </xf>
    <xf numFmtId="175" fontId="10" fillId="0" borderId="1" xfId="0" applyNumberFormat="1" applyFont="1" applyBorder="1" applyAlignment="1">
      <alignment horizontal="right"/>
    </xf>
    <xf numFmtId="166" fontId="10" fillId="0" borderId="1" xfId="0" applyNumberFormat="1" applyFont="1" applyBorder="1" applyAlignment="1">
      <alignment horizontal="right"/>
    </xf>
    <xf numFmtId="0" fontId="10" fillId="6" borderId="1" xfId="0" applyFont="1" applyFill="1" applyBorder="1"/>
    <xf numFmtId="0" fontId="19" fillId="0" borderId="0" xfId="0" applyFont="1"/>
    <xf numFmtId="0" fontId="23" fillId="0" borderId="0" xfId="0" applyFont="1" applyAlignment="1">
      <alignment indent="1"/>
    </xf>
    <xf numFmtId="178" fontId="24" fillId="0" borderId="0" xfId="0" applyNumberFormat="1" applyFont="1" applyAlignment="1">
      <alignment horizontal="right"/>
    </xf>
    <xf numFmtId="179" fontId="24" fillId="0" borderId="0" xfId="0" applyNumberFormat="1" applyFont="1" applyAlignment="1">
      <alignment horizontal="right"/>
    </xf>
    <xf numFmtId="166" fontId="24" fillId="0" borderId="0" xfId="0" applyNumberFormat="1" applyFont="1" applyAlignment="1">
      <alignment horizontal="right"/>
    </xf>
    <xf numFmtId="180" fontId="24" fillId="0" borderId="0" xfId="0" applyNumberFormat="1" applyFont="1" applyAlignment="1">
      <alignment horizontal="right"/>
    </xf>
    <xf numFmtId="169" fontId="24" fillId="0" borderId="0" xfId="0" applyNumberFormat="1" applyFont="1" applyAlignment="1">
      <alignment horizontal="right"/>
    </xf>
    <xf numFmtId="0" fontId="25" fillId="0" borderId="0" xfId="0" applyFont="1" applyAlignment="1">
      <alignment horizontal="right"/>
    </xf>
    <xf numFmtId="179" fontId="26" fillId="0" borderId="0" xfId="0" applyNumberFormat="1" applyFont="1" applyAlignment="1">
      <alignment horizontal="right"/>
    </xf>
    <xf numFmtId="176" fontId="26" fillId="0" borderId="0" xfId="0" applyNumberFormat="1" applyFont="1" applyAlignment="1">
      <alignment horizontal="right"/>
    </xf>
    <xf numFmtId="166" fontId="26" fillId="0" borderId="0" xfId="0" applyNumberFormat="1" applyFont="1" applyAlignment="1">
      <alignment horizontal="right"/>
    </xf>
    <xf numFmtId="0" fontId="27" fillId="0" borderId="0" xfId="0" applyFont="1" applyAlignment="1">
      <alignment indent="1"/>
    </xf>
    <xf numFmtId="0" fontId="28" fillId="0" borderId="4" xfId="0" applyFont="1" applyBorder="1" applyAlignment="1">
      <alignment horizontal="right"/>
    </xf>
    <xf numFmtId="166" fontId="24" fillId="7" borderId="0" xfId="0" applyNumberFormat="1" applyFont="1" applyFill="1" applyAlignment="1">
      <alignment horizontal="right"/>
    </xf>
    <xf numFmtId="0" fontId="19" fillId="7" borderId="0" xfId="0" applyFont="1" applyFill="1"/>
    <xf numFmtId="169" fontId="24" fillId="7" borderId="0" xfId="0" applyNumberFormat="1" applyFont="1" applyFill="1" applyAlignment="1">
      <alignment horizontal="right"/>
    </xf>
    <xf numFmtId="169" fontId="24" fillId="7" borderId="5" xfId="0" applyNumberFormat="1" applyFont="1" applyFill="1" applyBorder="1" applyAlignment="1">
      <alignment horizontal="right"/>
    </xf>
    <xf numFmtId="0" fontId="19" fillId="7" borderId="5" xfId="0" applyFont="1" applyFill="1" applyBorder="1"/>
    <xf numFmtId="0" fontId="23" fillId="7" borderId="7" xfId="0" applyFont="1" applyFill="1" applyBorder="1" applyAlignment="1">
      <alignment indent="1"/>
    </xf>
    <xf numFmtId="0" fontId="23" fillId="7" borderId="6" xfId="0" applyFont="1" applyFill="1" applyBorder="1" applyAlignment="1">
      <alignment indent="1"/>
    </xf>
    <xf numFmtId="0" fontId="19" fillId="7" borderId="8" xfId="0" applyFont="1" applyFill="1" applyBorder="1"/>
    <xf numFmtId="0" fontId="19" fillId="7" borderId="9" xfId="0" applyFont="1" applyFill="1" applyBorder="1"/>
    <xf numFmtId="0" fontId="27" fillId="0" borderId="10" xfId="0" quotePrefix="1" applyFont="1" applyBorder="1" applyAlignment="1">
      <alignment indent="1"/>
    </xf>
    <xf numFmtId="179" fontId="26" fillId="0" borderId="10" xfId="0" applyNumberFormat="1" applyFont="1" applyBorder="1" applyAlignment="1">
      <alignment horizontal="right"/>
    </xf>
    <xf numFmtId="0" fontId="19" fillId="0" borderId="10" xfId="0" applyFont="1" applyBorder="1"/>
    <xf numFmtId="0" fontId="27" fillId="0" borderId="10" xfId="0" applyFont="1" applyBorder="1" applyAlignment="1">
      <alignment indent="1"/>
    </xf>
    <xf numFmtId="0" fontId="28" fillId="0" borderId="11" xfId="0" applyFont="1" applyBorder="1" applyAlignment="1">
      <alignment horizontal="center" wrapText="1"/>
    </xf>
    <xf numFmtId="166" fontId="29" fillId="10" borderId="12" xfId="0" applyNumberFormat="1" applyFont="1" applyFill="1" applyBorder="1" applyAlignment="1">
      <alignment horizontal="center"/>
    </xf>
    <xf numFmtId="169" fontId="29" fillId="10" borderId="12" xfId="0" applyNumberFormat="1" applyFont="1" applyFill="1" applyBorder="1" applyAlignment="1">
      <alignment horizontal="center"/>
    </xf>
    <xf numFmtId="181" fontId="29" fillId="10" borderId="12" xfId="0" applyNumberFormat="1" applyFont="1" applyFill="1" applyBorder="1" applyAlignment="1">
      <alignment horizontal="center"/>
    </xf>
    <xf numFmtId="0" fontId="32" fillId="0" borderId="0" xfId="0" applyFont="1" applyAlignment="1">
      <alignment horizontal="left"/>
    </xf>
    <xf numFmtId="0" fontId="0" fillId="0" borderId="1" xfId="0" applyBorder="1"/>
    <xf numFmtId="0" fontId="31" fillId="6" borderId="1" xfId="0" applyFont="1" applyFill="1" applyBorder="1" applyAlignment="1">
      <alignment horizontal="left"/>
    </xf>
    <xf numFmtId="0" fontId="5" fillId="0" borderId="0" xfId="0" applyFont="1" applyAlignment="1">
      <alignment horizontal="left"/>
    </xf>
    <xf numFmtId="1" fontId="33" fillId="11" borderId="0" xfId="0" applyNumberFormat="1" applyFont="1" applyFill="1" applyAlignment="1">
      <alignment horizontal="right"/>
    </xf>
    <xf numFmtId="166" fontId="29" fillId="0" borderId="0" xfId="0" applyNumberFormat="1" applyFont="1" applyAlignment="1">
      <alignment horizontal="right"/>
    </xf>
    <xf numFmtId="176" fontId="29" fillId="0" borderId="0" xfId="0" applyNumberFormat="1" applyFont="1" applyAlignment="1">
      <alignment horizontal="right"/>
    </xf>
    <xf numFmtId="49" fontId="14" fillId="6" borderId="1" xfId="0" applyNumberFormat="1" applyFont="1" applyFill="1" applyBorder="1" applyAlignment="1">
      <alignment horizontal="left"/>
    </xf>
    <xf numFmtId="49" fontId="34" fillId="0" borderId="0" xfId="0" applyNumberFormat="1" applyFont="1" applyAlignment="1">
      <alignment horizontal="right"/>
    </xf>
    <xf numFmtId="0" fontId="35" fillId="0" borderId="0" xfId="0" applyFont="1" applyAlignment="1">
      <alignment horizontal="left"/>
    </xf>
    <xf numFmtId="0" fontId="36" fillId="0" borderId="0" xfId="0" applyFont="1"/>
    <xf numFmtId="0" fontId="7" fillId="0" borderId="0" xfId="0" quotePrefix="1" applyFont="1" applyAlignment="1">
      <alignment horizontal="left"/>
    </xf>
    <xf numFmtId="182" fontId="18" fillId="0" borderId="0" xfId="0" applyNumberFormat="1" applyFont="1" applyAlignment="1">
      <alignment horizontal="right"/>
    </xf>
    <xf numFmtId="0" fontId="7" fillId="0" borderId="3" xfId="0" quotePrefix="1" applyFont="1" applyBorder="1" applyAlignment="1">
      <alignment horizontal="left"/>
    </xf>
    <xf numFmtId="171" fontId="5" fillId="0" borderId="3" xfId="0" applyNumberFormat="1" applyFont="1" applyBorder="1" applyAlignment="1">
      <alignment horizontal="right"/>
    </xf>
    <xf numFmtId="166" fontId="11" fillId="11" borderId="0" xfId="0" applyNumberFormat="1" applyFont="1" applyFill="1" applyAlignment="1">
      <alignment horizontal="right"/>
    </xf>
    <xf numFmtId="0" fontId="37" fillId="0" borderId="0" xfId="0" applyFont="1" applyAlignment="1">
      <alignment horizontal="left"/>
    </xf>
    <xf numFmtId="183" fontId="38" fillId="0" borderId="0" xfId="0" applyNumberFormat="1" applyFont="1" applyAlignment="1">
      <alignment horizontal="right"/>
    </xf>
    <xf numFmtId="175" fontId="18" fillId="0" borderId="0" xfId="0" applyNumberFormat="1" applyFont="1" applyAlignment="1">
      <alignment horizontal="right"/>
    </xf>
    <xf numFmtId="0" fontId="7" fillId="6" borderId="1" xfId="0" applyFont="1" applyFill="1" applyBorder="1"/>
    <xf numFmtId="0" fontId="14" fillId="6" borderId="1" xfId="0" applyFont="1" applyFill="1" applyBorder="1"/>
    <xf numFmtId="184" fontId="18" fillId="0" borderId="0" xfId="0" applyNumberFormat="1" applyFont="1" applyAlignment="1">
      <alignment horizontal="right"/>
    </xf>
    <xf numFmtId="176" fontId="7" fillId="0" borderId="0" xfId="0" applyNumberFormat="1" applyFont="1" applyAlignment="1">
      <alignment horizontal="right"/>
    </xf>
    <xf numFmtId="0" fontId="10" fillId="6" borderId="0" xfId="0" applyFont="1" applyFill="1"/>
    <xf numFmtId="0" fontId="10" fillId="0" borderId="3" xfId="0" applyFont="1" applyBorder="1"/>
    <xf numFmtId="0" fontId="18" fillId="0" borderId="3" xfId="0" applyFont="1" applyBorder="1"/>
    <xf numFmtId="176" fontId="18" fillId="0" borderId="3" xfId="0" applyNumberFormat="1" applyFont="1" applyBorder="1" applyAlignment="1">
      <alignment horizontal="right"/>
    </xf>
    <xf numFmtId="175" fontId="7" fillId="7" borderId="0" xfId="0" applyNumberFormat="1" applyFont="1" applyFill="1" applyAlignment="1">
      <alignment horizontal="right"/>
    </xf>
    <xf numFmtId="176" fontId="7" fillId="7" borderId="0" xfId="0" applyNumberFormat="1" applyFont="1" applyFill="1" applyAlignment="1">
      <alignment horizontal="right"/>
    </xf>
    <xf numFmtId="166" fontId="7" fillId="7" borderId="0" xfId="0" applyNumberFormat="1" applyFont="1" applyFill="1" applyAlignment="1">
      <alignment horizontal="right"/>
    </xf>
    <xf numFmtId="49" fontId="9" fillId="0" borderId="0" xfId="0" applyNumberFormat="1" applyFont="1" applyAlignment="1">
      <alignment horizontal="right"/>
    </xf>
    <xf numFmtId="176" fontId="8" fillId="0" borderId="0" xfId="0" applyNumberFormat="1" applyFont="1" applyAlignment="1">
      <alignment horizontal="right"/>
    </xf>
    <xf numFmtId="49" fontId="32" fillId="0" borderId="0" xfId="0" applyNumberFormat="1" applyFont="1" applyAlignment="1">
      <alignment horizontal="right"/>
    </xf>
    <xf numFmtId="176" fontId="5" fillId="0" borderId="0" xfId="0" applyNumberFormat="1" applyFont="1" applyAlignment="1">
      <alignment horizontal="right"/>
    </xf>
    <xf numFmtId="0" fontId="0" fillId="6" borderId="0" xfId="0" applyFill="1"/>
    <xf numFmtId="1" fontId="33" fillId="0" borderId="3" xfId="0" applyNumberFormat="1" applyFont="1" applyBorder="1" applyAlignment="1">
      <alignment horizontal="right"/>
    </xf>
    <xf numFmtId="0" fontId="0" fillId="0" borderId="3" xfId="0" applyBorder="1"/>
    <xf numFmtId="49" fontId="37" fillId="0" borderId="3" xfId="0" applyNumberFormat="1" applyFont="1" applyBorder="1" applyAlignment="1">
      <alignment horizontal="right"/>
    </xf>
    <xf numFmtId="0" fontId="5" fillId="0" borderId="1" xfId="0" applyFont="1" applyBorder="1" applyAlignment="1">
      <alignment horizontal="right"/>
    </xf>
    <xf numFmtId="175" fontId="7" fillId="0" borderId="1" xfId="0" applyNumberFormat="1" applyFont="1" applyBorder="1" applyAlignment="1">
      <alignment horizontal="right"/>
    </xf>
    <xf numFmtId="169" fontId="5" fillId="0" borderId="1" xfId="0" applyNumberFormat="1" applyFont="1" applyBorder="1" applyAlignment="1">
      <alignment horizontal="right"/>
    </xf>
    <xf numFmtId="0" fontId="34" fillId="0" borderId="0" xfId="0" applyFont="1" applyAlignment="1">
      <alignment horizontal="right"/>
    </xf>
    <xf numFmtId="174" fontId="8" fillId="0" borderId="0" xfId="0" applyNumberFormat="1" applyFont="1" applyAlignment="1">
      <alignment horizontal="right"/>
    </xf>
    <xf numFmtId="185" fontId="8" fillId="0" borderId="0" xfId="0" applyNumberFormat="1" applyFont="1" applyAlignment="1">
      <alignment horizontal="right"/>
    </xf>
    <xf numFmtId="186" fontId="18" fillId="0" borderId="0" xfId="0" applyNumberFormat="1" applyFont="1" applyAlignment="1">
      <alignment horizontal="right"/>
    </xf>
    <xf numFmtId="187" fontId="18" fillId="0" borderId="0" xfId="0" applyNumberFormat="1" applyFont="1" applyAlignment="1">
      <alignment horizontal="right"/>
    </xf>
    <xf numFmtId="0" fontId="39" fillId="6" borderId="0" xfId="0" applyFont="1" applyFill="1" applyAlignment="1">
      <alignment horizontal="left"/>
    </xf>
    <xf numFmtId="0" fontId="40" fillId="0" borderId="3" xfId="0" applyFont="1" applyBorder="1" applyAlignment="1">
      <alignment horizontal="left"/>
    </xf>
    <xf numFmtId="3" fontId="18" fillId="0" borderId="3" xfId="0" applyNumberFormat="1" applyFont="1" applyBorder="1" applyAlignment="1">
      <alignment horizontal="right"/>
    </xf>
    <xf numFmtId="184" fontId="7" fillId="0" borderId="0" xfId="0" applyNumberFormat="1" applyFont="1" applyAlignment="1">
      <alignment horizontal="right"/>
    </xf>
    <xf numFmtId="188" fontId="18" fillId="0" borderId="0" xfId="0" applyNumberFormat="1" applyFont="1" applyAlignment="1">
      <alignment horizontal="right"/>
    </xf>
    <xf numFmtId="0" fontId="5" fillId="0" borderId="1" xfId="0" quotePrefix="1" applyFont="1" applyBorder="1" applyAlignment="1">
      <alignment horizontal="left"/>
    </xf>
    <xf numFmtId="184" fontId="5" fillId="0" borderId="1" xfId="0" applyNumberFormat="1" applyFont="1" applyBorder="1" applyAlignment="1">
      <alignment horizontal="right"/>
    </xf>
    <xf numFmtId="184" fontId="7" fillId="0" borderId="3" xfId="0" applyNumberFormat="1" applyFont="1" applyBorder="1" applyAlignment="1">
      <alignment horizontal="right"/>
    </xf>
    <xf numFmtId="184" fontId="5" fillId="0" borderId="0" xfId="0" applyNumberFormat="1" applyFont="1" applyAlignment="1">
      <alignment horizontal="right"/>
    </xf>
    <xf numFmtId="0" fontId="5" fillId="0" borderId="3" xfId="0" applyFont="1" applyBorder="1" applyAlignment="1">
      <alignment horizontal="left"/>
    </xf>
    <xf numFmtId="188" fontId="5" fillId="0" borderId="3" xfId="0" applyNumberFormat="1" applyFont="1" applyBorder="1" applyAlignment="1">
      <alignment horizontal="right"/>
    </xf>
    <xf numFmtId="0" fontId="31" fillId="6" borderId="0" xfId="0" applyFont="1" applyFill="1" applyAlignment="1">
      <alignment horizontal="left"/>
    </xf>
    <xf numFmtId="185" fontId="7" fillId="0" borderId="0" xfId="0" applyNumberFormat="1" applyFont="1" applyAlignment="1">
      <alignment horizontal="right"/>
    </xf>
    <xf numFmtId="0" fontId="0" fillId="0" borderId="0" xfId="0" quotePrefix="1"/>
    <xf numFmtId="189" fontId="10" fillId="0" borderId="0" xfId="0" applyNumberFormat="1" applyFont="1" applyAlignment="1">
      <alignment horizontal="right"/>
    </xf>
    <xf numFmtId="0" fontId="10" fillId="0" borderId="0" xfId="0" quotePrefix="1" applyFont="1"/>
    <xf numFmtId="0" fontId="11" fillId="0" borderId="0" xfId="0" quotePrefix="1" applyFont="1" applyAlignment="1">
      <alignment horizontal="left"/>
    </xf>
    <xf numFmtId="166" fontId="11" fillId="0" borderId="0" xfId="0" applyNumberFormat="1" applyFont="1" applyAlignment="1">
      <alignment horizontal="right"/>
    </xf>
    <xf numFmtId="189" fontId="18" fillId="0" borderId="0" xfId="0" applyNumberFormat="1" applyFont="1" applyAlignment="1">
      <alignment horizontal="right"/>
    </xf>
    <xf numFmtId="190" fontId="11" fillId="0" borderId="0" xfId="0" applyNumberFormat="1" applyFont="1" applyAlignment="1">
      <alignment horizontal="right"/>
    </xf>
    <xf numFmtId="186" fontId="11" fillId="0" borderId="0" xfId="0" applyNumberFormat="1" applyFont="1" applyAlignment="1">
      <alignment horizontal="right"/>
    </xf>
    <xf numFmtId="186" fontId="13" fillId="0" borderId="0" xfId="0" applyNumberFormat="1" applyFont="1" applyAlignment="1">
      <alignment horizontal="right"/>
    </xf>
    <xf numFmtId="185" fontId="13" fillId="0" borderId="3" xfId="0" applyNumberFormat="1" applyFont="1" applyBorder="1" applyAlignment="1">
      <alignment horizontal="right"/>
    </xf>
    <xf numFmtId="185" fontId="13" fillId="0" borderId="0" xfId="0" applyNumberFormat="1" applyFont="1" applyAlignment="1">
      <alignment horizontal="right"/>
    </xf>
    <xf numFmtId="49" fontId="14" fillId="6" borderId="0" xfId="0" applyNumberFormat="1" applyFont="1" applyFill="1" applyAlignment="1">
      <alignment horizontal="left"/>
    </xf>
    <xf numFmtId="171" fontId="11" fillId="0" borderId="0" xfId="0" applyNumberFormat="1" applyFont="1" applyAlignment="1">
      <alignment horizontal="right"/>
    </xf>
    <xf numFmtId="171" fontId="8" fillId="0" borderId="0" xfId="0" applyNumberFormat="1" applyFont="1" applyAlignment="1">
      <alignment horizontal="right"/>
    </xf>
    <xf numFmtId="191" fontId="10" fillId="0" borderId="0" xfId="0" applyNumberFormat="1" applyFont="1" applyAlignment="1">
      <alignment horizontal="right"/>
    </xf>
    <xf numFmtId="10" fontId="10" fillId="0" borderId="0" xfId="0" applyNumberFormat="1" applyFont="1" applyAlignment="1">
      <alignment horizontal="right"/>
    </xf>
    <xf numFmtId="191" fontId="8" fillId="0" borderId="0" xfId="0" applyNumberFormat="1" applyFont="1" applyAlignment="1">
      <alignment horizontal="right"/>
    </xf>
    <xf numFmtId="10" fontId="8" fillId="0" borderId="0" xfId="0" applyNumberFormat="1" applyFont="1" applyAlignment="1">
      <alignment horizontal="right"/>
    </xf>
    <xf numFmtId="171" fontId="10" fillId="0" borderId="0" xfId="0" applyNumberFormat="1" applyFont="1" applyAlignment="1">
      <alignment horizontal="right"/>
    </xf>
    <xf numFmtId="179" fontId="11" fillId="0" borderId="0" xfId="0" applyNumberFormat="1" applyFont="1" applyAlignment="1">
      <alignment horizontal="right"/>
    </xf>
    <xf numFmtId="172" fontId="11" fillId="0" borderId="0" xfId="0" applyNumberFormat="1" applyFont="1" applyAlignment="1">
      <alignment horizontal="right"/>
    </xf>
    <xf numFmtId="0" fontId="18" fillId="0" borderId="1" xfId="0" applyFont="1" applyBorder="1" applyAlignment="1">
      <alignment horizontal="left"/>
    </xf>
    <xf numFmtId="166" fontId="18" fillId="0" borderId="1" xfId="0" applyNumberFormat="1" applyFont="1" applyBorder="1" applyAlignment="1">
      <alignment horizontal="right"/>
    </xf>
    <xf numFmtId="0" fontId="22" fillId="9" borderId="0" xfId="0" applyFont="1" applyFill="1" applyAlignment="1">
      <alignment vertical="center" indent="1"/>
    </xf>
    <xf numFmtId="0" fontId="30" fillId="0" borderId="0" xfId="0" applyFont="1" applyAlignment="1">
      <alignment vertical="top" wrapText="1"/>
    </xf>
    <xf numFmtId="0" fontId="19" fillId="0" borderId="0" xfId="0" applyFont="1"/>
    <xf numFmtId="0" fontId="0" fillId="0" borderId="0" xfId="0"/>
    <xf numFmtId="0" fontId="20" fillId="8" borderId="0" xfId="0" applyFont="1" applyFill="1" applyAlignment="1">
      <alignment horizontal="left" vertical="center" indent="1"/>
    </xf>
    <xf numFmtId="0" fontId="20" fillId="8" borderId="0" xfId="0" applyFont="1" applyFill="1" applyAlignment="1">
      <alignment horizontal="left" vertical="center"/>
    </xf>
    <xf numFmtId="0" fontId="21" fillId="8" borderId="0" xfId="0" applyFont="1" applyFill="1" applyAlignment="1">
      <alignment horizontal="left" vertical="center" indent="1"/>
    </xf>
    <xf numFmtId="0" fontId="21" fillId="8" borderId="0" xfId="0" applyFont="1" applyFill="1" applyAlignment="1">
      <alignment horizontal="left" vertical="center"/>
    </xf>
    <xf numFmtId="0" fontId="2" fillId="2" borderId="0" xfId="0" applyFont="1" applyFill="1" applyAlignment="1">
      <alignment horizontal="left" vertical="center" indent="1"/>
    </xf>
    <xf numFmtId="0" fontId="3" fillId="2" borderId="0" xfId="0" applyFont="1" applyFill="1" applyAlignment="1">
      <alignment horizontal="left" vertical="center" indent="1"/>
    </xf>
    <xf numFmtId="0" fontId="4" fillId="0" borderId="0" xfId="0" applyFont="1" applyAlignment="1">
      <alignment horizontal="left" vertical="center"/>
    </xf>
    <xf numFmtId="0" fontId="6" fillId="4" borderId="0" xfId="0" applyFont="1" applyFill="1" applyAlignment="1">
      <alignment horizontal="left" vertical="center" indent="1"/>
    </xf>
    <xf numFmtId="0" fontId="4" fillId="0" borderId="0" xfId="0" applyFont="1" applyAlignment="1">
      <alignment vertical="top" wrapText="1"/>
    </xf>
    <xf numFmtId="0" fontId="2" fillId="5" borderId="0" xfId="0" applyFont="1" applyFill="1" applyAlignment="1">
      <alignment horizontal="left"/>
    </xf>
    <xf numFmtId="0" fontId="3" fillId="5" borderId="0" xfId="0" applyFont="1" applyFill="1" applyAlignment="1">
      <alignment horizontal="left"/>
    </xf>
    <xf numFmtId="0" fontId="12" fillId="0" borderId="0" xfId="0" applyFont="1" applyAlignment="1">
      <alignment wrapText="1"/>
    </xf>
    <xf numFmtId="0" fontId="4" fillId="0" borderId="0" xfId="0" applyFont="1" applyAlignment="1">
      <alignment horizontal="left"/>
    </xf>
    <xf numFmtId="0" fontId="4" fillId="0" borderId="0" xfId="0" applyFont="1" applyAlignment="1">
      <alignment wrapText="1"/>
    </xf>
    <xf numFmtId="0" fontId="12" fillId="0" borderId="0" xfId="0" applyFont="1" applyAlignment="1">
      <alignment horizontal="left"/>
    </xf>
    <xf numFmtId="0" fontId="9" fillId="0" borderId="0" xfId="0" applyFont="1" applyAlignment="1">
      <alignment horizontal="left"/>
    </xf>
    <xf numFmtId="0" fontId="9" fillId="0" borderId="3" xfId="0" applyFont="1" applyBorder="1" applyAlignment="1">
      <alignment wrapText="1"/>
    </xf>
    <xf numFmtId="0" fontId="7" fillId="0" borderId="3" xfId="0" applyFont="1" applyBorder="1"/>
  </cellXfs>
  <cellStyles count="1">
    <cellStyle name="Normal" xfId="0" builtinId="0"/>
  </cellStyles>
  <dxfs count="1">
    <dxf>
      <font>
        <b/>
        <i val="0"/>
        <color rgb="FFFF0000"/>
      </font>
      <fill>
        <patternFill patternType="solid">
          <fgColor indexed="64"/>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C9A227"/>
      <rgbColor rgb="FFFF6600"/>
      <rgbColor rgb="FF666699"/>
      <rgbColor rgb="FF969696"/>
      <rgbColor rgb="FF003366"/>
      <rgbColor rgb="FF339966"/>
      <rgbColor rgb="FF003300"/>
      <rgbColor rgb="FF333300"/>
      <rgbColor rgb="FF993300"/>
      <rgbColor rgb="FF993366"/>
      <rgbColor rgb="FF333399"/>
      <rgbColor rgb="FF1F2A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chartsheet" Target="chartsheets/sheet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'5 · Returns &amp; Sensitivities'!$B$1:$B$2</c:f>
              <c:strCache>
                <c:ptCount val="2"/>
                <c:pt idx="0">
                  <c:v>CBIZ, Inc. (NYSE: CBZ)  —  Take-Private by Grant Thornton Advisors / New Mountain Capital</c:v>
                </c:pt>
                <c:pt idx="1">
                  <c:v>Tab 5 — Returns &amp; Sensitivities  |  Single entry / single exit, no interim dividends → IRR = MOIC^(1/hold) − 1  |  Returns are SPONSOR NET of the management incentive pool (section 7)  |  FY2030E exit, 4.05-year hold from the modelled 15-Dec-2026 close  |</c:v>
                </c:pt>
              </c:strCache>
            </c:strRef>
          </c:tx>
          <c:spPr>
            <a:solidFill>
              <a:schemeClr val="accent1"/>
            </a:solidFill>
            <a:ln>
              <a:noFill/>
            </a:ln>
            <a:effectLst/>
          </c:spPr>
          <c:invertIfNegative val="0"/>
          <c:val>
            <c:numRef>
              <c:f>'5 · Returns &amp; Sensitivities'!$B$3</c:f>
              <c:numCache>
                <c:formatCode>General</c:formatCode>
                <c:ptCount val="1"/>
                <c:pt idx="0">
                  <c:v>0</c:v>
                </c:pt>
              </c:numCache>
            </c:numRef>
          </c:val>
          <c:extLst>
            <c:ext xmlns:c16="http://schemas.microsoft.com/office/drawing/2014/chart" uri="{C3380CC4-5D6E-409C-BE32-E72D297353CC}">
              <c16:uniqueId val="{00000000-9F72-441E-A432-4411DAAC914B}"/>
            </c:ext>
          </c:extLst>
        </c:ser>
        <c:dLbls>
          <c:showLegendKey val="0"/>
          <c:showVal val="0"/>
          <c:showCatName val="0"/>
          <c:showSerName val="0"/>
          <c:showPercent val="0"/>
          <c:showBubbleSize val="0"/>
        </c:dLbls>
        <c:gapWidth val="219"/>
        <c:overlap val="-27"/>
        <c:axId val="1475253376"/>
        <c:axId val="940269680"/>
      </c:barChart>
      <c:catAx>
        <c:axId val="147525337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0269680"/>
        <c:crosses val="autoZero"/>
        <c:auto val="1"/>
        <c:lblAlgn val="ctr"/>
        <c:lblOffset val="100"/>
        <c:noMultiLvlLbl val="0"/>
      </c:catAx>
      <c:valAx>
        <c:axId val="940269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5253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A0B19AD-24F6-4D10-BB8E-6955801CFFAF}">
  <sheetPr/>
  <sheetViews>
    <sheetView tabSelected="1" zoomScale="40"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9130" cy="6294783"/>
    <xdr:graphicFrame macro="">
      <xdr:nvGraphicFramePr>
        <xdr:cNvPr id="2" name="Chart 1">
          <a:extLst>
            <a:ext uri="{FF2B5EF4-FFF2-40B4-BE49-F238E27FC236}">
              <a16:creationId xmlns:a16="http://schemas.microsoft.com/office/drawing/2014/main" id="{AC83D027-D817-A8BC-6209-33C0A7E1A25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7130D71-608B-429D-A648-3CC6B80E7DBE}">
  <we:reference id="wa200009404" version="1.0.0.8" store="fr-FR" storeType="OMEX"/>
  <we:alternateReferences>
    <we:reference id="WA200009404" version="1.0.0.8" store="" storeType="OMEX"/>
  </we:alternateReferences>
  <we:properties>
    <we:property name="claude.fileId" value="&quot;4e8160f5-0765-44f7-8a15-a8afcaeaba38&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CA50C-2995-4F28-9EEB-85B9C59785BE}">
  <sheetPr>
    <pageSetUpPr fitToPage="1"/>
  </sheetPr>
  <dimension ref="A1:I40"/>
  <sheetViews>
    <sheetView showGridLines="0" topLeftCell="A3" zoomScale="96" workbookViewId="0">
      <selection activeCell="C6" sqref="C6"/>
    </sheetView>
  </sheetViews>
  <sheetFormatPr defaultRowHeight="14.5" x14ac:dyDescent="0.35"/>
  <cols>
    <col min="1" max="1" width="3.1796875" customWidth="1"/>
    <col min="2" max="2" width="45.81640625" customWidth="1"/>
    <col min="3" max="3" width="19.08984375" customWidth="1"/>
    <col min="4" max="4" width="12.7265625" customWidth="1"/>
    <col min="5" max="5" width="35.6328125" customWidth="1"/>
    <col min="6" max="7" width="16.54296875" customWidth="1"/>
    <col min="8" max="8" width="12.7265625" customWidth="1"/>
    <col min="9" max="9" width="3.1796875" customWidth="1"/>
  </cols>
  <sheetData>
    <row r="1" spans="1:9" x14ac:dyDescent="0.35">
      <c r="A1" s="128"/>
      <c r="B1" s="128"/>
      <c r="C1" s="128"/>
      <c r="D1" s="128"/>
      <c r="E1" s="128"/>
      <c r="F1" s="128"/>
      <c r="G1" s="128"/>
      <c r="H1" s="128"/>
      <c r="I1" s="128"/>
    </row>
    <row r="2" spans="1:9" ht="30" customHeight="1" x14ac:dyDescent="0.35">
      <c r="A2" s="128"/>
      <c r="B2" s="244" t="s">
        <v>278</v>
      </c>
      <c r="C2" s="245"/>
      <c r="D2" s="245"/>
      <c r="E2" s="245"/>
      <c r="F2" s="245"/>
      <c r="G2" s="245"/>
      <c r="H2" s="245"/>
      <c r="I2" s="128"/>
    </row>
    <row r="3" spans="1:9" ht="20" customHeight="1" x14ac:dyDescent="0.35">
      <c r="A3" s="128"/>
      <c r="B3" s="246" t="str">
        <f>"As-announced reconstruction · US$ in millions · announced 28 Jul 2026 · "&amp;TEXT('5 · Returns &amp; Sensitivities'!$C$6,"0.00")&amp;"-year hold, "&amp;TEXT('4 · Debt Schedule &amp; FCF'!$C$98,"d mmm yyyy")&amp;" close to FY2030E exit"</f>
        <v>As-announced reconstruction · US$ in millions · announced 28 Jul 2026 · 4.05-year hold, 15 Dec 2026 close to FY2030E exit</v>
      </c>
      <c r="C3" s="247"/>
      <c r="D3" s="247"/>
      <c r="E3" s="247"/>
      <c r="F3" s="247"/>
      <c r="G3" s="247"/>
      <c r="H3" s="247"/>
      <c r="I3" s="128"/>
    </row>
    <row r="4" spans="1:9" x14ac:dyDescent="0.35">
      <c r="A4" s="128"/>
      <c r="B4" s="128"/>
      <c r="C4" s="128"/>
      <c r="D4" s="128"/>
      <c r="E4" s="128"/>
      <c r="F4" s="140" t="s">
        <v>290</v>
      </c>
      <c r="G4" s="140" t="s">
        <v>291</v>
      </c>
      <c r="H4" s="128"/>
      <c r="I4" s="128"/>
    </row>
    <row r="5" spans="1:9" ht="18" customHeight="1" x14ac:dyDescent="0.35">
      <c r="A5" s="128"/>
      <c r="B5" s="240" t="s">
        <v>279</v>
      </c>
      <c r="C5" s="240"/>
      <c r="D5" s="240"/>
      <c r="E5" s="240" t="s">
        <v>292</v>
      </c>
      <c r="F5" s="240"/>
      <c r="G5" s="240"/>
      <c r="H5" s="240"/>
      <c r="I5" s="128"/>
    </row>
    <row r="6" spans="1:9" x14ac:dyDescent="0.35">
      <c r="A6" s="128"/>
      <c r="B6" s="129" t="s">
        <v>85</v>
      </c>
      <c r="C6" s="130">
        <f>'Transaction Data'!C7</f>
        <v>55</v>
      </c>
      <c r="D6" s="128"/>
      <c r="E6" s="129" t="s">
        <v>157</v>
      </c>
      <c r="F6" s="131">
        <f>'3 · Operating Model'!C23</f>
        <v>2757.99</v>
      </c>
      <c r="G6" s="131">
        <f>'3 · Operating Model'!H23</f>
        <v>3519.9717865593752</v>
      </c>
      <c r="H6" s="128"/>
      <c r="I6" s="128"/>
    </row>
    <row r="7" spans="1:9" x14ac:dyDescent="0.35">
      <c r="A7" s="128"/>
      <c r="B7" s="129" t="s">
        <v>9</v>
      </c>
      <c r="C7" s="131">
        <f>'Transaction Data'!C8</f>
        <v>5000</v>
      </c>
      <c r="D7" s="128"/>
      <c r="E7" s="129" t="s">
        <v>160</v>
      </c>
      <c r="F7" s="131">
        <f>'3 · Operating Model'!C25</f>
        <v>446.9</v>
      </c>
      <c r="G7" s="131">
        <f>'3 · Operating Model'!H25</f>
        <v>612.4750908613313</v>
      </c>
      <c r="H7" s="128"/>
      <c r="I7" s="128"/>
    </row>
    <row r="8" spans="1:9" x14ac:dyDescent="0.35">
      <c r="A8" s="128"/>
      <c r="B8" s="129" t="s">
        <v>10</v>
      </c>
      <c r="C8" s="132">
        <f>'Transaction Data'!C9</f>
        <v>0.54</v>
      </c>
      <c r="D8" s="128"/>
      <c r="E8" s="129" t="s">
        <v>293</v>
      </c>
      <c r="F8" s="132">
        <f>'3 · Operating Model'!C35</f>
        <v>5.0000000000000044E-2</v>
      </c>
      <c r="G8" s="128"/>
      <c r="H8" s="128"/>
      <c r="I8" s="128"/>
    </row>
    <row r="9" spans="1:9" x14ac:dyDescent="0.35">
      <c r="A9" s="128"/>
      <c r="B9" s="129" t="s">
        <v>280</v>
      </c>
      <c r="C9" s="131">
        <f>'Transaction Data'!C11</f>
        <v>5200</v>
      </c>
      <c r="D9" s="128"/>
      <c r="E9" s="129" t="s">
        <v>294</v>
      </c>
      <c r="F9" s="132">
        <f>'3 · Operating Model'!C36</f>
        <v>6.506377876670344E-2</v>
      </c>
      <c r="G9" s="128"/>
      <c r="H9" s="128"/>
      <c r="I9" s="128"/>
    </row>
    <row r="10" spans="1:9" x14ac:dyDescent="0.35">
      <c r="A10" s="128"/>
      <c r="B10" s="129" t="s">
        <v>281</v>
      </c>
      <c r="C10" s="135" t="s">
        <v>17</v>
      </c>
      <c r="D10" s="128"/>
      <c r="E10" s="129" t="s">
        <v>295</v>
      </c>
      <c r="F10" s="134">
        <f ca="1">'4 · Debt Schedule &amp; FCF'!C59</f>
        <v>5.1860159211690773</v>
      </c>
      <c r="G10" s="134">
        <f ca="1">'4 · Debt Schedule &amp; FCF'!G59</f>
        <v>2.3678759047120499</v>
      </c>
      <c r="H10" s="128"/>
      <c r="I10" s="128"/>
    </row>
    <row r="11" spans="1:9" x14ac:dyDescent="0.35">
      <c r="A11" s="128"/>
      <c r="B11" s="128"/>
      <c r="C11" s="128"/>
      <c r="D11" s="128"/>
      <c r="E11" s="128"/>
      <c r="F11" s="128"/>
      <c r="G11" s="128"/>
      <c r="H11" s="128"/>
      <c r="I11" s="128"/>
    </row>
    <row r="12" spans="1:9" ht="18" customHeight="1" x14ac:dyDescent="0.35">
      <c r="A12" s="128"/>
      <c r="B12" s="240" t="s">
        <v>282</v>
      </c>
      <c r="C12" s="240"/>
      <c r="D12" s="240"/>
      <c r="E12" s="240" t="s">
        <v>296</v>
      </c>
      <c r="F12" s="240"/>
      <c r="G12" s="240"/>
      <c r="H12" s="240"/>
      <c r="I12" s="128"/>
    </row>
    <row r="13" spans="1:9" x14ac:dyDescent="0.35">
      <c r="A13" s="128"/>
      <c r="B13" s="129" t="s">
        <v>9</v>
      </c>
      <c r="C13" s="131">
        <f>'Transaction Data'!C8</f>
        <v>5000</v>
      </c>
      <c r="D13" s="128"/>
      <c r="E13" s="129" t="s">
        <v>297</v>
      </c>
      <c r="F13" s="131">
        <f>'5 · Returns &amp; Sensitivities'!C11</f>
        <v>2696.7887499999997</v>
      </c>
      <c r="G13" s="128"/>
      <c r="H13" s="128"/>
      <c r="I13" s="128"/>
    </row>
    <row r="14" spans="1:9" x14ac:dyDescent="0.35">
      <c r="A14" s="128"/>
      <c r="B14" s="129" t="s">
        <v>283</v>
      </c>
      <c r="C14" s="131">
        <f>-'Transaction Data'!C34</f>
        <v>-1454.1100000000001</v>
      </c>
      <c r="D14" s="128"/>
      <c r="E14" s="153" t="s">
        <v>298</v>
      </c>
      <c r="F14" s="151">
        <f ca="1">'5 · Returns &amp; Sensitivities'!C16</f>
        <v>5409.4560077600399</v>
      </c>
      <c r="G14" s="152"/>
      <c r="H14" s="152"/>
      <c r="I14" s="128"/>
    </row>
    <row r="15" spans="1:9" x14ac:dyDescent="0.35">
      <c r="A15" s="128"/>
      <c r="B15" s="150" t="s">
        <v>72</v>
      </c>
      <c r="C15" s="151">
        <f>'1 · Transaction Overview'!C16</f>
        <v>3545.89</v>
      </c>
      <c r="D15" s="152"/>
      <c r="E15" s="139" t="s">
        <v>271</v>
      </c>
      <c r="F15" s="137">
        <f ca="1">'5 · Returns &amp; Sensitivities'!C19</f>
        <v>1.9052991384601543</v>
      </c>
      <c r="G15" s="128"/>
      <c r="H15" s="128"/>
      <c r="I15" s="128"/>
    </row>
    <row r="16" spans="1:9" x14ac:dyDescent="0.35">
      <c r="A16" s="128"/>
      <c r="B16" s="129" t="s">
        <v>52</v>
      </c>
      <c r="C16" s="133">
        <f>'1 · Transaction Overview'!C18</f>
        <v>64.470727272727274</v>
      </c>
      <c r="D16" s="128"/>
      <c r="E16" s="139" t="str">
        <f>"IRR  ("&amp;TEXT('5 · Returns &amp; Sensitivities'!$C$6,"0.00")&amp;"-year hold)"</f>
        <v>IRR  (4.05-year hold)</v>
      </c>
      <c r="F16" s="138">
        <f ca="1">'5 · Returns &amp; Sensitivities'!C20</f>
        <v>0.17269537284178704</v>
      </c>
      <c r="G16" s="128"/>
      <c r="H16" s="128"/>
      <c r="I16" s="128"/>
    </row>
    <row r="17" spans="1:9" x14ac:dyDescent="0.35">
      <c r="A17" s="128"/>
      <c r="B17" s="129" t="s">
        <v>56</v>
      </c>
      <c r="C17" s="134">
        <f>'Transaction Data'!C53</f>
        <v>1.8129144775724351</v>
      </c>
      <c r="D17" s="128"/>
      <c r="E17" s="129" t="s">
        <v>299</v>
      </c>
      <c r="F17" s="134">
        <f>'5 · Returns &amp; Sensitivities'!C7</f>
        <v>11.2</v>
      </c>
      <c r="G17" s="128"/>
      <c r="H17" s="128"/>
      <c r="I17" s="128"/>
    </row>
    <row r="18" spans="1:9" x14ac:dyDescent="0.35">
      <c r="A18" s="128"/>
      <c r="B18" s="129" t="s">
        <v>284</v>
      </c>
      <c r="C18" s="134">
        <f>'Transaction Data'!C54</f>
        <v>11.188185276348177</v>
      </c>
      <c r="D18" s="128"/>
      <c r="E18" s="128"/>
      <c r="F18" s="128"/>
      <c r="G18" s="128"/>
      <c r="H18" s="128"/>
      <c r="I18" s="128"/>
    </row>
    <row r="19" spans="1:9" ht="18" customHeight="1" x14ac:dyDescent="0.35">
      <c r="A19" s="128"/>
      <c r="B19" s="128"/>
      <c r="C19" s="128"/>
      <c r="D19" s="128"/>
      <c r="E19" s="240" t="s">
        <v>300</v>
      </c>
      <c r="F19" s="240"/>
      <c r="G19" s="240"/>
      <c r="H19" s="240"/>
      <c r="I19" s="128"/>
    </row>
    <row r="20" spans="1:9" ht="18" customHeight="1" x14ac:dyDescent="0.35">
      <c r="A20" s="128"/>
      <c r="B20" s="240" t="s">
        <v>285</v>
      </c>
      <c r="C20" s="240"/>
      <c r="D20" s="240"/>
      <c r="E20" s="146" t="s">
        <v>301</v>
      </c>
      <c r="F20" s="141">
        <f ca="1">'5 · Returns &amp; Sensitivities'!C20</f>
        <v>0.17269537284178704</v>
      </c>
      <c r="G20" s="142"/>
      <c r="H20" s="148"/>
      <c r="I20" s="128"/>
    </row>
    <row r="21" spans="1:9" x14ac:dyDescent="0.35">
      <c r="A21" s="128"/>
      <c r="B21" s="129" t="s">
        <v>286</v>
      </c>
      <c r="C21" s="131">
        <f>'2 · Sources &amp; Uses'!C20</f>
        <v>2457.9499999999998</v>
      </c>
      <c r="D21" s="128"/>
      <c r="E21" s="146" t="s">
        <v>302</v>
      </c>
      <c r="F21" s="143">
        <f ca="1">'5 · Returns &amp; Sensitivities'!F53</f>
        <v>12.109896603028604</v>
      </c>
      <c r="G21" s="142"/>
      <c r="H21" s="148"/>
      <c r="I21" s="128"/>
    </row>
    <row r="22" spans="1:9" x14ac:dyDescent="0.35">
      <c r="A22" s="128"/>
      <c r="B22" s="139" t="s">
        <v>287</v>
      </c>
      <c r="C22" s="136">
        <f>'2 · Sources &amp; Uses'!C23</f>
        <v>2696.7887499999997</v>
      </c>
      <c r="D22" s="128"/>
      <c r="E22" s="147" t="s">
        <v>303</v>
      </c>
      <c r="F22" s="144">
        <f ca="1">'5 · Returns &amp; Sensitivities'!F53-'Transaction Data'!C54</f>
        <v>0.92171132668042688</v>
      </c>
      <c r="G22" s="145"/>
      <c r="H22" s="149"/>
      <c r="I22" s="128"/>
    </row>
    <row r="23" spans="1:9" x14ac:dyDescent="0.35">
      <c r="A23" s="128"/>
      <c r="B23" s="129" t="s">
        <v>288</v>
      </c>
      <c r="C23" s="134">
        <f>'2 · Sources &amp; Uses'!C6</f>
        <v>5.5</v>
      </c>
      <c r="D23" s="128"/>
      <c r="E23" s="128"/>
      <c r="F23" s="128"/>
      <c r="G23" s="128"/>
      <c r="H23" s="128"/>
      <c r="I23" s="128"/>
    </row>
    <row r="24" spans="1:9" x14ac:dyDescent="0.35">
      <c r="A24" s="128"/>
      <c r="B24" s="129" t="s">
        <v>289</v>
      </c>
      <c r="C24" s="132">
        <f>'2 · Sources &amp; Uses'!C29</f>
        <v>0.52316691122319248</v>
      </c>
      <c r="D24" s="128"/>
      <c r="E24" s="128"/>
      <c r="F24" s="128"/>
      <c r="G24" s="128"/>
      <c r="H24" s="128"/>
      <c r="I24" s="128"/>
    </row>
    <row r="25" spans="1:9" x14ac:dyDescent="0.35">
      <c r="A25" s="128"/>
      <c r="B25" s="128"/>
      <c r="C25" s="128"/>
      <c r="D25" s="128"/>
      <c r="E25" s="128"/>
      <c r="F25" s="128"/>
      <c r="G25" s="128"/>
      <c r="H25" s="128"/>
      <c r="I25" s="128"/>
    </row>
    <row r="26" spans="1:9" ht="18" customHeight="1" x14ac:dyDescent="0.35">
      <c r="A26" s="128"/>
      <c r="B26" s="240" t="s">
        <v>304</v>
      </c>
      <c r="C26" s="240"/>
      <c r="D26" s="240"/>
      <c r="E26" s="240"/>
      <c r="F26" s="240"/>
      <c r="G26" s="240"/>
      <c r="H26" s="240"/>
      <c r="I26" s="128"/>
    </row>
    <row r="27" spans="1:9" ht="24" customHeight="1" x14ac:dyDescent="0.35">
      <c r="A27" s="128"/>
      <c r="B27" s="154" t="s">
        <v>305</v>
      </c>
      <c r="C27" s="154" t="s">
        <v>306</v>
      </c>
      <c r="D27" s="154" t="s">
        <v>307</v>
      </c>
      <c r="E27" s="154" t="s">
        <v>308</v>
      </c>
      <c r="F27" s="154" t="s">
        <v>309</v>
      </c>
      <c r="G27" s="154" t="s">
        <v>310</v>
      </c>
      <c r="H27" s="154" t="s">
        <v>311</v>
      </c>
      <c r="I27" s="128"/>
    </row>
    <row r="28" spans="1:9" ht="18" customHeight="1" x14ac:dyDescent="0.35">
      <c r="A28" s="128"/>
      <c r="B28" s="155">
        <f>'3 · Operating Model'!D16</f>
        <v>0.05</v>
      </c>
      <c r="C28" s="155">
        <f>'3 · Operating Model'!H17</f>
        <v>0.17399999999999999</v>
      </c>
      <c r="D28" s="156">
        <f>'2 · Sources &amp; Uses'!C6</f>
        <v>5.5</v>
      </c>
      <c r="E28" s="155">
        <f>'4 · Debt Schedule &amp; FCF'!C8</f>
        <v>8.4999999999999992E-2</v>
      </c>
      <c r="F28" s="155">
        <f>'4 · Debt Schedule &amp; FCF'!C13</f>
        <v>1</v>
      </c>
      <c r="G28" s="156">
        <f>'5 · Returns &amp; Sensitivities'!C7</f>
        <v>11.2</v>
      </c>
      <c r="H28" s="157">
        <f>'5 · Returns &amp; Sensitivities'!C6</f>
        <v>4.0465753424657533</v>
      </c>
      <c r="I28" s="128"/>
    </row>
    <row r="29" spans="1:9" x14ac:dyDescent="0.35">
      <c r="A29" s="128"/>
      <c r="B29" s="128"/>
      <c r="C29" s="128"/>
      <c r="D29" s="128"/>
      <c r="E29" s="128"/>
      <c r="F29" s="128"/>
      <c r="G29" s="128"/>
      <c r="H29" s="128"/>
      <c r="I29" s="128"/>
    </row>
    <row r="30" spans="1:9" ht="22" customHeight="1" x14ac:dyDescent="0.35">
      <c r="A30" s="128"/>
      <c r="B30" s="241" t="s">
        <v>312</v>
      </c>
      <c r="C30" s="242"/>
      <c r="D30" s="242"/>
      <c r="E30" s="242"/>
      <c r="F30" s="242"/>
      <c r="G30" s="242"/>
      <c r="H30" s="242"/>
      <c r="I30" s="128"/>
    </row>
    <row r="31" spans="1:9" ht="14" customHeight="1" x14ac:dyDescent="0.35">
      <c r="A31" s="128"/>
      <c r="B31" s="243"/>
      <c r="C31" s="243"/>
      <c r="D31" s="243"/>
      <c r="E31" s="243"/>
      <c r="F31" s="243"/>
      <c r="G31" s="243"/>
      <c r="H31" s="243"/>
      <c r="I31" s="128"/>
    </row>
    <row r="32" spans="1:9" x14ac:dyDescent="0.35">
      <c r="A32" s="128"/>
      <c r="B32" s="128"/>
      <c r="C32" s="128"/>
      <c r="D32" s="128"/>
      <c r="E32" s="128"/>
      <c r="F32" s="128"/>
      <c r="G32" s="128"/>
      <c r="H32" s="128"/>
      <c r="I32" s="128"/>
    </row>
    <row r="33" spans="1:9" x14ac:dyDescent="0.35">
      <c r="A33" s="128"/>
      <c r="B33" s="128"/>
      <c r="C33" s="128"/>
      <c r="D33" s="128"/>
      <c r="E33" s="128"/>
      <c r="F33" s="128"/>
      <c r="G33" s="128"/>
      <c r="H33" s="128"/>
      <c r="I33" s="128"/>
    </row>
    <row r="34" spans="1:9" x14ac:dyDescent="0.35">
      <c r="A34" s="128"/>
      <c r="B34" s="128"/>
      <c r="C34" s="128"/>
      <c r="D34" s="128"/>
      <c r="E34" s="128"/>
      <c r="F34" s="128"/>
      <c r="G34" s="128"/>
      <c r="H34" s="128"/>
      <c r="I34" s="128"/>
    </row>
    <row r="35" spans="1:9" x14ac:dyDescent="0.35">
      <c r="A35" s="128"/>
      <c r="B35" s="128"/>
      <c r="C35" s="128"/>
      <c r="D35" s="128"/>
      <c r="E35" s="128"/>
      <c r="F35" s="128"/>
      <c r="G35" s="128"/>
      <c r="H35" s="128"/>
      <c r="I35" s="128"/>
    </row>
    <row r="36" spans="1:9" x14ac:dyDescent="0.35">
      <c r="A36" s="128"/>
      <c r="B36" s="128"/>
      <c r="C36" s="128"/>
      <c r="D36" s="128"/>
      <c r="E36" s="128"/>
      <c r="F36" s="128"/>
      <c r="G36" s="128"/>
      <c r="H36" s="128"/>
      <c r="I36" s="128"/>
    </row>
    <row r="37" spans="1:9" x14ac:dyDescent="0.35">
      <c r="A37" s="128"/>
      <c r="B37" s="128"/>
      <c r="C37" s="128"/>
      <c r="D37" s="128"/>
      <c r="E37" s="128"/>
      <c r="F37" s="128"/>
      <c r="G37" s="128"/>
      <c r="H37" s="128"/>
      <c r="I37" s="128"/>
    </row>
    <row r="38" spans="1:9" x14ac:dyDescent="0.35">
      <c r="A38" s="128"/>
      <c r="B38" s="128"/>
      <c r="C38" s="128"/>
      <c r="D38" s="128"/>
      <c r="E38" s="128"/>
      <c r="F38" s="128"/>
      <c r="G38" s="128"/>
      <c r="H38" s="128"/>
      <c r="I38" s="128"/>
    </row>
    <row r="39" spans="1:9" x14ac:dyDescent="0.35">
      <c r="A39" s="128"/>
      <c r="B39" s="128"/>
      <c r="C39" s="128"/>
      <c r="D39" s="128"/>
      <c r="E39" s="128"/>
      <c r="F39" s="128"/>
      <c r="G39" s="128"/>
      <c r="H39" s="128"/>
      <c r="I39" s="128"/>
    </row>
    <row r="40" spans="1:9" x14ac:dyDescent="0.35">
      <c r="A40" s="128"/>
      <c r="B40" s="128"/>
      <c r="C40" s="128"/>
      <c r="D40" s="128"/>
      <c r="E40" s="128"/>
      <c r="F40" s="128"/>
      <c r="G40" s="128"/>
      <c r="H40" s="128"/>
      <c r="I40" s="128"/>
    </row>
  </sheetData>
  <mergeCells count="11">
    <mergeCell ref="B26:H26"/>
    <mergeCell ref="B30:H30"/>
    <mergeCell ref="B31:H31"/>
    <mergeCell ref="B2:H2"/>
    <mergeCell ref="B3:H3"/>
    <mergeCell ref="B5:D5"/>
    <mergeCell ref="B12:D12"/>
    <mergeCell ref="B20:D20"/>
    <mergeCell ref="E5:H5"/>
    <mergeCell ref="E12:H12"/>
    <mergeCell ref="E19:H19"/>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6"/>
  <sheetViews>
    <sheetView showGridLines="0" zoomScaleNormal="100" workbookViewId="0">
      <pane xSplit="1" ySplit="5" topLeftCell="B43" activePane="bottomRight" state="frozen"/>
      <selection pane="topRight" activeCell="B1" sqref="B1"/>
      <selection pane="bottomLeft" activeCell="A6" sqref="A6"/>
      <selection pane="bottomRight" activeCell="C58" sqref="C58"/>
    </sheetView>
  </sheetViews>
  <sheetFormatPr defaultColWidth="8.6328125" defaultRowHeight="14.5" x14ac:dyDescent="0.35"/>
  <cols>
    <col min="1" max="1" width="2" customWidth="1"/>
    <col min="2" max="2" width="46" customWidth="1"/>
    <col min="3" max="3" width="16" customWidth="1"/>
    <col min="4" max="4" width="34" customWidth="1"/>
    <col min="5" max="5" width="2" customWidth="1"/>
  </cols>
  <sheetData>
    <row r="1" spans="2:4" ht="25.5" customHeight="1" x14ac:dyDescent="0.35">
      <c r="B1" s="248" t="s">
        <v>0</v>
      </c>
      <c r="C1" s="248"/>
      <c r="D1" s="248"/>
    </row>
    <row r="2" spans="2:4" ht="15.75" customHeight="1" x14ac:dyDescent="0.35">
      <c r="B2" s="249" t="s">
        <v>1</v>
      </c>
      <c r="C2" s="249"/>
      <c r="D2" s="249"/>
    </row>
    <row r="3" spans="2:4" ht="13.5" customHeight="1" x14ac:dyDescent="0.35">
      <c r="B3" s="250" t="s">
        <v>2</v>
      </c>
      <c r="C3" s="250"/>
      <c r="D3" s="250"/>
    </row>
    <row r="5" spans="2:4" x14ac:dyDescent="0.35">
      <c r="B5" s="1" t="s">
        <v>3</v>
      </c>
      <c r="C5" s="2" t="s">
        <v>4</v>
      </c>
      <c r="D5" s="1" t="s">
        <v>5</v>
      </c>
    </row>
    <row r="6" spans="2:4" ht="18" customHeight="1" x14ac:dyDescent="0.35">
      <c r="B6" s="251" t="s">
        <v>6</v>
      </c>
      <c r="C6" s="251"/>
      <c r="D6" s="251"/>
    </row>
    <row r="7" spans="2:4" x14ac:dyDescent="0.35">
      <c r="B7" s="3" t="s">
        <v>7</v>
      </c>
      <c r="C7" s="4">
        <v>55</v>
      </c>
      <c r="D7" s="5" t="s">
        <v>8</v>
      </c>
    </row>
    <row r="8" spans="2:4" x14ac:dyDescent="0.35">
      <c r="B8" s="3" t="s">
        <v>9</v>
      </c>
      <c r="C8" s="6">
        <v>5000</v>
      </c>
      <c r="D8" s="5" t="s">
        <v>8</v>
      </c>
    </row>
    <row r="9" spans="2:4" x14ac:dyDescent="0.35">
      <c r="B9" s="3" t="s">
        <v>10</v>
      </c>
      <c r="C9" s="7">
        <v>0.54</v>
      </c>
      <c r="D9" s="5" t="s">
        <v>8</v>
      </c>
    </row>
    <row r="10" spans="2:4" x14ac:dyDescent="0.35">
      <c r="B10" s="3" t="s">
        <v>11</v>
      </c>
      <c r="C10" s="7">
        <v>0.17799999999999999</v>
      </c>
      <c r="D10" s="5" t="s">
        <v>12</v>
      </c>
    </row>
    <row r="11" spans="2:4" x14ac:dyDescent="0.35">
      <c r="B11" s="3" t="s">
        <v>13</v>
      </c>
      <c r="C11" s="6">
        <v>5200</v>
      </c>
      <c r="D11" s="5" t="s">
        <v>14</v>
      </c>
    </row>
    <row r="12" spans="2:4" x14ac:dyDescent="0.35">
      <c r="B12" s="3" t="s">
        <v>15</v>
      </c>
      <c r="C12" s="8">
        <v>107.5</v>
      </c>
      <c r="D12" s="5" t="s">
        <v>8</v>
      </c>
    </row>
    <row r="13" spans="2:4" x14ac:dyDescent="0.35">
      <c r="B13" s="3" t="s">
        <v>16</v>
      </c>
      <c r="C13" s="9" t="s">
        <v>17</v>
      </c>
      <c r="D13" s="5" t="s">
        <v>8</v>
      </c>
    </row>
    <row r="14" spans="2:4" x14ac:dyDescent="0.35">
      <c r="B14" s="3" t="s">
        <v>18</v>
      </c>
      <c r="C14" s="9" t="s">
        <v>19</v>
      </c>
      <c r="D14" s="5" t="s">
        <v>8</v>
      </c>
    </row>
    <row r="15" spans="2:4" x14ac:dyDescent="0.35">
      <c r="B15" s="3" t="s">
        <v>20</v>
      </c>
      <c r="C15" s="9" t="s">
        <v>21</v>
      </c>
      <c r="D15" s="5" t="s">
        <v>8</v>
      </c>
    </row>
    <row r="17" spans="2:4" ht="18" customHeight="1" x14ac:dyDescent="0.35">
      <c r="B17" s="251" t="s">
        <v>22</v>
      </c>
      <c r="C17" s="251"/>
      <c r="D17" s="251"/>
    </row>
    <row r="18" spans="2:4" x14ac:dyDescent="0.35">
      <c r="B18" s="3" t="s">
        <v>23</v>
      </c>
      <c r="C18" s="8">
        <v>2757.99</v>
      </c>
      <c r="D18" s="5" t="s">
        <v>24</v>
      </c>
    </row>
    <row r="19" spans="2:4" x14ac:dyDescent="0.35">
      <c r="B19" s="3" t="s">
        <v>25</v>
      </c>
      <c r="C19" s="8">
        <v>446.9</v>
      </c>
      <c r="D19" s="5" t="s">
        <v>26</v>
      </c>
    </row>
    <row r="20" spans="2:4" x14ac:dyDescent="0.35">
      <c r="B20" s="3" t="s">
        <v>27</v>
      </c>
      <c r="C20" s="8">
        <v>234</v>
      </c>
      <c r="D20" s="5" t="s">
        <v>26</v>
      </c>
    </row>
    <row r="21" spans="2:4" x14ac:dyDescent="0.35">
      <c r="B21" s="3" t="s">
        <v>28</v>
      </c>
      <c r="C21" s="8">
        <v>98.27</v>
      </c>
      <c r="D21" s="5" t="s">
        <v>26</v>
      </c>
    </row>
    <row r="22" spans="2:4" x14ac:dyDescent="0.35">
      <c r="B22" s="3" t="s">
        <v>29</v>
      </c>
      <c r="C22" s="8">
        <v>107.2</v>
      </c>
      <c r="D22" s="5" t="s">
        <v>26</v>
      </c>
    </row>
    <row r="23" spans="2:4" x14ac:dyDescent="0.35">
      <c r="B23" s="3" t="s">
        <v>30</v>
      </c>
      <c r="C23" s="8">
        <v>115.4</v>
      </c>
      <c r="D23" s="5" t="s">
        <v>26</v>
      </c>
    </row>
    <row r="24" spans="2:4" x14ac:dyDescent="0.35">
      <c r="B24" s="3" t="s">
        <v>31</v>
      </c>
      <c r="C24" s="8">
        <v>192.5</v>
      </c>
      <c r="D24" s="5" t="s">
        <v>26</v>
      </c>
    </row>
    <row r="25" spans="2:4" x14ac:dyDescent="0.35">
      <c r="B25" s="3" t="s">
        <v>32</v>
      </c>
      <c r="C25" s="8">
        <v>175.5</v>
      </c>
      <c r="D25" s="5" t="s">
        <v>26</v>
      </c>
    </row>
    <row r="26" spans="2:4" x14ac:dyDescent="0.35">
      <c r="B26" s="3" t="s">
        <v>33</v>
      </c>
      <c r="C26" s="7">
        <v>0.28499999999999998</v>
      </c>
      <c r="D26" s="5" t="s">
        <v>26</v>
      </c>
    </row>
    <row r="28" spans="2:4" ht="18" customHeight="1" x14ac:dyDescent="0.35">
      <c r="B28" s="251" t="s">
        <v>34</v>
      </c>
      <c r="C28" s="251"/>
      <c r="D28" s="251"/>
    </row>
    <row r="29" spans="2:4" x14ac:dyDescent="0.35">
      <c r="B29" s="3" t="s">
        <v>35</v>
      </c>
      <c r="C29" s="8">
        <v>1472.4</v>
      </c>
      <c r="D29" s="5" t="s">
        <v>24</v>
      </c>
    </row>
    <row r="30" spans="2:4" x14ac:dyDescent="0.35">
      <c r="B30" s="3" t="s">
        <v>36</v>
      </c>
      <c r="C30" s="8">
        <v>1455.9</v>
      </c>
      <c r="D30" s="5" t="s">
        <v>26</v>
      </c>
    </row>
    <row r="31" spans="2:4" x14ac:dyDescent="0.35">
      <c r="B31" s="3" t="s">
        <v>37</v>
      </c>
      <c r="C31" s="8">
        <v>18.29</v>
      </c>
      <c r="D31" s="5" t="s">
        <v>26</v>
      </c>
    </row>
    <row r="32" spans="2:4" x14ac:dyDescent="0.35">
      <c r="B32" s="3" t="s">
        <v>38</v>
      </c>
      <c r="C32" s="8">
        <v>38.229999999999997</v>
      </c>
      <c r="D32" s="5" t="s">
        <v>26</v>
      </c>
    </row>
    <row r="33" spans="2:4" x14ac:dyDescent="0.35">
      <c r="B33" s="3" t="s">
        <v>39</v>
      </c>
      <c r="C33" s="8">
        <v>207</v>
      </c>
      <c r="D33" s="5" t="s">
        <v>26</v>
      </c>
    </row>
    <row r="34" spans="2:4" x14ac:dyDescent="0.35">
      <c r="B34" s="10" t="s">
        <v>40</v>
      </c>
      <c r="C34" s="11">
        <f>C29-C31</f>
        <v>1454.1100000000001</v>
      </c>
      <c r="D34" s="5" t="s">
        <v>41</v>
      </c>
    </row>
    <row r="36" spans="2:4" ht="18" customHeight="1" x14ac:dyDescent="0.35">
      <c r="B36" s="251" t="s">
        <v>42</v>
      </c>
      <c r="C36" s="251"/>
      <c r="D36" s="251"/>
    </row>
    <row r="37" spans="2:4" x14ac:dyDescent="0.35">
      <c r="B37" s="3" t="s">
        <v>43</v>
      </c>
      <c r="C37" s="12">
        <v>50.07</v>
      </c>
      <c r="D37" s="5" t="s">
        <v>24</v>
      </c>
    </row>
    <row r="38" spans="2:4" x14ac:dyDescent="0.35">
      <c r="B38" s="3" t="s">
        <v>44</v>
      </c>
      <c r="C38" s="12">
        <v>54.38</v>
      </c>
      <c r="D38" s="5" t="s">
        <v>26</v>
      </c>
    </row>
    <row r="39" spans="2:4" x14ac:dyDescent="0.35">
      <c r="B39" s="3" t="s">
        <v>45</v>
      </c>
      <c r="C39" s="12">
        <v>63.24</v>
      </c>
      <c r="D39" s="5" t="s">
        <v>26</v>
      </c>
    </row>
    <row r="40" spans="2:4" x14ac:dyDescent="0.35">
      <c r="B40" s="3" t="s">
        <v>46</v>
      </c>
      <c r="C40" s="12">
        <v>62</v>
      </c>
      <c r="D40" s="5" t="s">
        <v>26</v>
      </c>
    </row>
    <row r="42" spans="2:4" ht="18" customHeight="1" x14ac:dyDescent="0.35">
      <c r="B42" s="251" t="s">
        <v>47</v>
      </c>
      <c r="C42" s="251"/>
      <c r="D42" s="251"/>
    </row>
    <row r="43" spans="2:4" x14ac:dyDescent="0.35">
      <c r="B43" s="3" t="s">
        <v>9</v>
      </c>
      <c r="C43" s="13">
        <f>C8</f>
        <v>5000</v>
      </c>
      <c r="D43" s="5" t="s">
        <v>48</v>
      </c>
    </row>
    <row r="44" spans="2:4" x14ac:dyDescent="0.35">
      <c r="B44" s="3" t="s">
        <v>49</v>
      </c>
      <c r="C44" s="14">
        <f>-C34</f>
        <v>-1454.1100000000001</v>
      </c>
      <c r="D44" s="5" t="s">
        <v>48</v>
      </c>
    </row>
    <row r="45" spans="2:4" x14ac:dyDescent="0.35">
      <c r="B45" s="10" t="s">
        <v>50</v>
      </c>
      <c r="C45" s="11">
        <f>C43+C44</f>
        <v>3545.89</v>
      </c>
      <c r="D45" s="5" t="s">
        <v>41</v>
      </c>
    </row>
    <row r="46" spans="2:4" x14ac:dyDescent="0.35">
      <c r="B46" s="3" t="s">
        <v>51</v>
      </c>
      <c r="C46" s="15">
        <f>C7</f>
        <v>55</v>
      </c>
      <c r="D46" s="5" t="s">
        <v>48</v>
      </c>
    </row>
    <row r="47" spans="2:4" x14ac:dyDescent="0.35">
      <c r="B47" s="10" t="s">
        <v>52</v>
      </c>
      <c r="C47" s="16">
        <f>C45/C46</f>
        <v>64.470727272727274</v>
      </c>
      <c r="D47" s="5" t="s">
        <v>41</v>
      </c>
    </row>
    <row r="49" spans="2:4" x14ac:dyDescent="0.35">
      <c r="B49" s="3" t="s">
        <v>53</v>
      </c>
      <c r="C49" s="14">
        <f>C7*C37</f>
        <v>2753.85</v>
      </c>
      <c r="D49" s="5" t="s">
        <v>41</v>
      </c>
    </row>
    <row r="50" spans="2:4" x14ac:dyDescent="0.35">
      <c r="B50" s="3" t="s">
        <v>54</v>
      </c>
      <c r="C50" s="14">
        <f>C7*C38</f>
        <v>2990.9</v>
      </c>
      <c r="D50" s="5" t="s">
        <v>41</v>
      </c>
    </row>
    <row r="52" spans="2:4" ht="18" customHeight="1" x14ac:dyDescent="0.35">
      <c r="B52" s="251" t="s">
        <v>55</v>
      </c>
      <c r="C52" s="251"/>
      <c r="D52" s="251"/>
    </row>
    <row r="53" spans="2:4" x14ac:dyDescent="0.35">
      <c r="B53" s="10" t="s">
        <v>56</v>
      </c>
      <c r="C53" s="17">
        <f>C8/C18</f>
        <v>1.8129144775724351</v>
      </c>
      <c r="D53" s="5" t="s">
        <v>41</v>
      </c>
    </row>
    <row r="54" spans="2:4" x14ac:dyDescent="0.35">
      <c r="B54" s="10" t="s">
        <v>57</v>
      </c>
      <c r="C54" s="17">
        <f>C8/C19</f>
        <v>11.188185276348177</v>
      </c>
      <c r="D54" s="5" t="s">
        <v>41</v>
      </c>
    </row>
    <row r="56" spans="2:4" ht="42" customHeight="1" x14ac:dyDescent="0.35">
      <c r="B56" s="252" t="s">
        <v>58</v>
      </c>
      <c r="C56" s="252"/>
      <c r="D56" s="252"/>
    </row>
  </sheetData>
  <mergeCells count="10">
    <mergeCell ref="B28:D28"/>
    <mergeCell ref="B36:D36"/>
    <mergeCell ref="B42:D42"/>
    <mergeCell ref="B52:D52"/>
    <mergeCell ref="B56:D56"/>
    <mergeCell ref="B1:D1"/>
    <mergeCell ref="B2:D2"/>
    <mergeCell ref="B3:D3"/>
    <mergeCell ref="B6:D6"/>
    <mergeCell ref="B17:D17"/>
  </mergeCells>
  <pageMargins left="0.75" right="0.75" top="1" bottom="1"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2DF9E-DE58-4FDD-BE11-69A5B628734D}">
  <dimension ref="A1:D40"/>
  <sheetViews>
    <sheetView showGridLines="0" workbookViewId="0">
      <pane ySplit="4" topLeftCell="A25" activePane="bottomLeft" state="frozen"/>
      <selection pane="bottomLeft" activeCell="B4" sqref="B4"/>
    </sheetView>
  </sheetViews>
  <sheetFormatPr defaultRowHeight="14.5" x14ac:dyDescent="0.35"/>
  <cols>
    <col min="1" max="1" width="3.26953125" customWidth="1"/>
    <col min="2" max="2" width="62.7265625" customWidth="1"/>
    <col min="3" max="3" width="20" customWidth="1"/>
    <col min="4" max="4" width="41.81640625" customWidth="1"/>
  </cols>
  <sheetData>
    <row r="1" spans="1:4" ht="16.5" x14ac:dyDescent="0.35">
      <c r="A1" s="18"/>
      <c r="B1" s="253" t="s">
        <v>59</v>
      </c>
      <c r="C1" s="253"/>
      <c r="D1" s="253"/>
    </row>
    <row r="2" spans="1:4" x14ac:dyDescent="0.35">
      <c r="A2" s="18"/>
      <c r="B2" s="254" t="s">
        <v>60</v>
      </c>
      <c r="C2" s="254"/>
      <c r="D2" s="254"/>
    </row>
    <row r="3" spans="1:4" ht="22" customHeight="1" x14ac:dyDescent="0.35">
      <c r="A3" s="18"/>
      <c r="B3" s="19" t="s">
        <v>61</v>
      </c>
      <c r="C3" s="19"/>
      <c r="D3" s="19"/>
    </row>
    <row r="4" spans="1:4" x14ac:dyDescent="0.35">
      <c r="A4" s="18"/>
      <c r="B4" s="18"/>
      <c r="C4" s="18"/>
      <c r="D4" s="18"/>
    </row>
    <row r="5" spans="1:4" x14ac:dyDescent="0.35">
      <c r="A5" s="18"/>
      <c r="B5" s="20" t="s">
        <v>62</v>
      </c>
      <c r="C5" s="20" t="s">
        <v>4</v>
      </c>
      <c r="D5" s="23" t="s">
        <v>5</v>
      </c>
    </row>
    <row r="6" spans="1:4" x14ac:dyDescent="0.35">
      <c r="A6" s="18"/>
      <c r="B6" s="26" t="s">
        <v>7</v>
      </c>
      <c r="C6" s="27">
        <f>'Transaction Data'!C7</f>
        <v>55</v>
      </c>
      <c r="D6" s="28" t="s">
        <v>63</v>
      </c>
    </row>
    <row r="7" spans="1:4" x14ac:dyDescent="0.35">
      <c r="A7" s="18"/>
      <c r="B7" s="26" t="s">
        <v>16</v>
      </c>
      <c r="C7" s="29" t="str">
        <f>'Transaction Data'!C13</f>
        <v>All-cash take-private</v>
      </c>
      <c r="D7" s="28" t="s">
        <v>64</v>
      </c>
    </row>
    <row r="8" spans="1:4" x14ac:dyDescent="0.35">
      <c r="A8" s="18"/>
      <c r="B8" s="26" t="s">
        <v>9</v>
      </c>
      <c r="C8" s="30">
        <f>'Transaction Data'!C8</f>
        <v>5000</v>
      </c>
      <c r="D8" s="28" t="s">
        <v>65</v>
      </c>
    </row>
    <row r="9" spans="1:4" x14ac:dyDescent="0.35">
      <c r="A9" s="18"/>
      <c r="B9" s="26" t="s">
        <v>13</v>
      </c>
      <c r="C9" s="30">
        <f>'Transaction Data'!C11</f>
        <v>5200</v>
      </c>
      <c r="D9" s="28" t="s">
        <v>66</v>
      </c>
    </row>
    <row r="10" spans="1:4" x14ac:dyDescent="0.35">
      <c r="A10" s="18"/>
      <c r="B10" s="26" t="s">
        <v>20</v>
      </c>
      <c r="C10" s="29" t="str">
        <f>'Transaction Data'!C15</f>
        <v>Q4 2026</v>
      </c>
      <c r="D10" s="28" t="s">
        <v>67</v>
      </c>
    </row>
    <row r="11" spans="1:4" x14ac:dyDescent="0.35">
      <c r="A11" s="18"/>
      <c r="B11" s="26" t="s">
        <v>18</v>
      </c>
      <c r="C11" s="29" t="str">
        <f>'Transaction Data'!C14</f>
        <v>27 Aug 2026</v>
      </c>
      <c r="D11" s="28" t="s">
        <v>68</v>
      </c>
    </row>
    <row r="12" spans="1:4" x14ac:dyDescent="0.35">
      <c r="A12" s="18"/>
      <c r="B12" s="18"/>
      <c r="C12" s="21"/>
      <c r="D12" s="24"/>
    </row>
    <row r="13" spans="1:4" x14ac:dyDescent="0.35">
      <c r="A13" s="18"/>
      <c r="B13" s="20" t="s">
        <v>69</v>
      </c>
      <c r="C13" s="22"/>
      <c r="D13" s="25"/>
    </row>
    <row r="14" spans="1:4" x14ac:dyDescent="0.35">
      <c r="A14" s="18"/>
      <c r="B14" s="26" t="s">
        <v>9</v>
      </c>
      <c r="C14" s="30">
        <f>'Transaction Data'!C8</f>
        <v>5000</v>
      </c>
      <c r="D14" s="28" t="s">
        <v>65</v>
      </c>
    </row>
    <row r="15" spans="1:4" x14ac:dyDescent="0.35">
      <c r="A15" s="18"/>
      <c r="B15" s="26" t="s">
        <v>70</v>
      </c>
      <c r="C15" s="39">
        <f>-'Transaction Data'!C34</f>
        <v>-1454.1100000000001</v>
      </c>
      <c r="D15" s="28" t="s">
        <v>71</v>
      </c>
    </row>
    <row r="16" spans="1:4" x14ac:dyDescent="0.35">
      <c r="A16" s="18"/>
      <c r="B16" s="31" t="s">
        <v>72</v>
      </c>
      <c r="C16" s="32">
        <f>C14+C15</f>
        <v>3545.89</v>
      </c>
      <c r="D16" s="28" t="s">
        <v>41</v>
      </c>
    </row>
    <row r="17" spans="1:4" x14ac:dyDescent="0.35">
      <c r="A17" s="18"/>
      <c r="B17" s="26" t="s">
        <v>73</v>
      </c>
      <c r="C17" s="27">
        <f>'Transaction Data'!C7</f>
        <v>55</v>
      </c>
      <c r="D17" s="28" t="s">
        <v>63</v>
      </c>
    </row>
    <row r="18" spans="1:4" x14ac:dyDescent="0.35">
      <c r="A18" s="18"/>
      <c r="B18" s="31" t="s">
        <v>74</v>
      </c>
      <c r="C18" s="33">
        <f>C16/C17</f>
        <v>64.470727272727274</v>
      </c>
      <c r="D18" s="28" t="s">
        <v>41</v>
      </c>
    </row>
    <row r="19" spans="1:4" x14ac:dyDescent="0.35">
      <c r="A19" s="18"/>
      <c r="B19" s="18"/>
      <c r="C19" s="21"/>
      <c r="D19" s="24"/>
    </row>
    <row r="20" spans="1:4" x14ac:dyDescent="0.35">
      <c r="A20" s="18"/>
      <c r="B20" s="26" t="s">
        <v>75</v>
      </c>
      <c r="C20" s="34">
        <f>'Transaction Data'!C7*'Transaction Data'!C37</f>
        <v>2753.85</v>
      </c>
      <c r="D20" s="28" t="s">
        <v>76</v>
      </c>
    </row>
    <row r="21" spans="1:4" x14ac:dyDescent="0.35">
      <c r="A21" s="18"/>
      <c r="B21" s="26" t="s">
        <v>77</v>
      </c>
      <c r="C21" s="34">
        <f>'Transaction Data'!C7*'Transaction Data'!C38</f>
        <v>2990.9</v>
      </c>
      <c r="D21" s="28" t="s">
        <v>76</v>
      </c>
    </row>
    <row r="22" spans="1:4" x14ac:dyDescent="0.35">
      <c r="A22" s="18"/>
      <c r="B22" s="18"/>
      <c r="C22" s="21"/>
      <c r="D22" s="24"/>
    </row>
    <row r="23" spans="1:4" x14ac:dyDescent="0.35">
      <c r="A23" s="18"/>
      <c r="B23" s="20" t="s">
        <v>78</v>
      </c>
      <c r="C23" s="22"/>
      <c r="D23" s="25"/>
    </row>
    <row r="24" spans="1:4" x14ac:dyDescent="0.35">
      <c r="A24" s="18"/>
      <c r="B24" s="35" t="s">
        <v>79</v>
      </c>
      <c r="C24" s="36">
        <f>$C$14/'Transaction Data'!C18</f>
        <v>1.8129144775724351</v>
      </c>
      <c r="D24" s="28" t="s">
        <v>80</v>
      </c>
    </row>
    <row r="25" spans="1:4" x14ac:dyDescent="0.35">
      <c r="A25" s="18"/>
      <c r="B25" s="35" t="s">
        <v>57</v>
      </c>
      <c r="C25" s="36">
        <f>$C$14/'Transaction Data'!C19</f>
        <v>11.188185276348177</v>
      </c>
      <c r="D25" s="28" t="s">
        <v>81</v>
      </c>
    </row>
    <row r="26" spans="1:4" x14ac:dyDescent="0.35">
      <c r="A26" s="18"/>
      <c r="B26" s="35" t="s">
        <v>82</v>
      </c>
      <c r="C26" s="36">
        <f>$C$14/'Transaction Data'!C20</f>
        <v>21.367521367521366</v>
      </c>
      <c r="D26" s="28" t="s">
        <v>83</v>
      </c>
    </row>
    <row r="27" spans="1:4" x14ac:dyDescent="0.35">
      <c r="A27" s="18"/>
      <c r="B27" s="18"/>
      <c r="C27" s="21"/>
      <c r="D27" s="24"/>
    </row>
    <row r="28" spans="1:4" x14ac:dyDescent="0.35">
      <c r="A28" s="18"/>
      <c r="B28" s="20" t="s">
        <v>84</v>
      </c>
      <c r="C28" s="22"/>
      <c r="D28" s="25"/>
    </row>
    <row r="29" spans="1:4" x14ac:dyDescent="0.35">
      <c r="A29" s="18"/>
      <c r="B29" s="26" t="s">
        <v>85</v>
      </c>
      <c r="C29" s="37">
        <f>'Transaction Data'!C7</f>
        <v>55</v>
      </c>
      <c r="D29" s="28" t="s">
        <v>63</v>
      </c>
    </row>
    <row r="30" spans="1:4" x14ac:dyDescent="0.35">
      <c r="A30" s="18"/>
      <c r="B30" s="26" t="s">
        <v>86</v>
      </c>
      <c r="C30" s="37">
        <f>$C$29/(1+'Transaction Data'!C9)</f>
        <v>35.714285714285715</v>
      </c>
      <c r="D30" s="28" t="s">
        <v>87</v>
      </c>
    </row>
    <row r="31" spans="1:4" x14ac:dyDescent="0.35">
      <c r="A31" s="18"/>
      <c r="B31" s="26" t="s">
        <v>88</v>
      </c>
      <c r="C31" s="37">
        <f>$C$29/(1+'Transaction Data'!C10)</f>
        <v>46.689303904923605</v>
      </c>
      <c r="D31" s="28" t="s">
        <v>89</v>
      </c>
    </row>
    <row r="32" spans="1:4" x14ac:dyDescent="0.35">
      <c r="A32" s="18"/>
      <c r="B32" s="26" t="s">
        <v>10</v>
      </c>
      <c r="C32" s="38">
        <f>'Transaction Data'!C9</f>
        <v>0.54</v>
      </c>
      <c r="D32" s="28" t="s">
        <v>90</v>
      </c>
    </row>
    <row r="33" spans="1:4" x14ac:dyDescent="0.35">
      <c r="A33" s="18"/>
      <c r="B33" s="26" t="s">
        <v>11</v>
      </c>
      <c r="C33" s="38">
        <f>'Transaction Data'!C10</f>
        <v>0.17799999999999999</v>
      </c>
      <c r="D33" s="28" t="s">
        <v>91</v>
      </c>
    </row>
    <row r="34" spans="1:4" x14ac:dyDescent="0.35">
      <c r="A34" s="18"/>
      <c r="B34" s="18"/>
      <c r="C34" s="18"/>
      <c r="D34" s="24"/>
    </row>
    <row r="35" spans="1:4" ht="42" customHeight="1" x14ac:dyDescent="0.35">
      <c r="A35" s="18"/>
      <c r="B35" s="255" t="s">
        <v>92</v>
      </c>
      <c r="C35" s="255"/>
      <c r="D35" s="255"/>
    </row>
    <row r="36" spans="1:4" x14ac:dyDescent="0.35">
      <c r="A36" s="18"/>
      <c r="B36" s="18"/>
      <c r="C36" s="18"/>
      <c r="D36" s="18"/>
    </row>
    <row r="37" spans="1:4" x14ac:dyDescent="0.35">
      <c r="A37" s="18"/>
      <c r="B37" s="18"/>
      <c r="C37" s="18"/>
      <c r="D37" s="18"/>
    </row>
    <row r="38" spans="1:4" x14ac:dyDescent="0.35">
      <c r="A38" s="18"/>
      <c r="B38" s="18"/>
      <c r="C38" s="18"/>
      <c r="D38" s="18"/>
    </row>
    <row r="39" spans="1:4" x14ac:dyDescent="0.35">
      <c r="A39" s="18"/>
      <c r="B39" s="18"/>
      <c r="C39" s="18"/>
      <c r="D39" s="18"/>
    </row>
    <row r="40" spans="1:4" x14ac:dyDescent="0.35">
      <c r="A40" s="18"/>
      <c r="B40" s="18"/>
      <c r="C40" s="18"/>
      <c r="D40" s="18"/>
    </row>
  </sheetData>
  <mergeCells count="3">
    <mergeCell ref="B1:D1"/>
    <mergeCell ref="B2:D2"/>
    <mergeCell ref="B35:D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F84C-3F09-403A-9AAC-75D8593CDDF4}">
  <dimension ref="B1:D36"/>
  <sheetViews>
    <sheetView showGridLines="0" workbookViewId="0">
      <pane ySplit="10" topLeftCell="A31" activePane="bottomLeft" state="frozen"/>
      <selection pane="bottomLeft" activeCell="C11" sqref="C11"/>
    </sheetView>
  </sheetViews>
  <sheetFormatPr defaultRowHeight="14.5" x14ac:dyDescent="0.35"/>
  <cols>
    <col min="1" max="1" width="3.26953125" customWidth="1"/>
    <col min="2" max="2" width="58.1796875" customWidth="1"/>
    <col min="3" max="3" width="19.08984375" customWidth="1"/>
    <col min="4" max="4" width="54.54296875" customWidth="1"/>
  </cols>
  <sheetData>
    <row r="1" spans="2:4" ht="16.5" x14ac:dyDescent="0.35">
      <c r="B1" s="253" t="s">
        <v>59</v>
      </c>
      <c r="C1" s="253"/>
      <c r="D1" s="253"/>
    </row>
    <row r="2" spans="2:4" x14ac:dyDescent="0.35">
      <c r="B2" s="254" t="s">
        <v>93</v>
      </c>
      <c r="C2" s="254"/>
      <c r="D2" s="254"/>
    </row>
    <row r="3" spans="2:4" x14ac:dyDescent="0.35">
      <c r="B3" s="256" t="s">
        <v>94</v>
      </c>
      <c r="C3" s="256"/>
      <c r="D3" s="256"/>
    </row>
    <row r="5" spans="2:4" x14ac:dyDescent="0.35">
      <c r="B5" s="20" t="s">
        <v>95</v>
      </c>
      <c r="C5" s="22" t="s">
        <v>4</v>
      </c>
      <c r="D5" s="23" t="s">
        <v>96</v>
      </c>
    </row>
    <row r="6" spans="2:4" x14ac:dyDescent="0.35">
      <c r="B6" s="26" t="s">
        <v>97</v>
      </c>
      <c r="C6" s="40">
        <v>5.5</v>
      </c>
      <c r="D6" s="28" t="s">
        <v>361</v>
      </c>
    </row>
    <row r="7" spans="2:4" x14ac:dyDescent="0.35">
      <c r="B7" s="26" t="s">
        <v>98</v>
      </c>
      <c r="C7" s="41">
        <v>2.5000000000000001E-2</v>
      </c>
      <c r="D7" s="28" t="s">
        <v>99</v>
      </c>
    </row>
    <row r="8" spans="2:4" x14ac:dyDescent="0.35">
      <c r="B8" s="26" t="s">
        <v>100</v>
      </c>
      <c r="C8" s="41">
        <v>1.4999999999999999E-2</v>
      </c>
      <c r="D8" s="28" t="s">
        <v>101</v>
      </c>
    </row>
    <row r="9" spans="2:4" x14ac:dyDescent="0.35">
      <c r="B9" s="26" t="s">
        <v>102</v>
      </c>
      <c r="C9" s="42">
        <v>0</v>
      </c>
      <c r="D9" s="28" t="s">
        <v>103</v>
      </c>
    </row>
    <row r="10" spans="2:4" x14ac:dyDescent="0.35">
      <c r="B10" s="26" t="s">
        <v>104</v>
      </c>
      <c r="C10" s="42">
        <v>0</v>
      </c>
      <c r="D10" s="28" t="s">
        <v>105</v>
      </c>
    </row>
    <row r="12" spans="2:4" x14ac:dyDescent="0.35">
      <c r="B12" s="20" t="s">
        <v>106</v>
      </c>
      <c r="C12" s="22" t="s">
        <v>107</v>
      </c>
      <c r="D12" s="23" t="s">
        <v>96</v>
      </c>
    </row>
    <row r="13" spans="2:4" x14ac:dyDescent="0.35">
      <c r="B13" s="26" t="s">
        <v>108</v>
      </c>
      <c r="C13" s="43">
        <f>'1 · Transaction Overview'!C16</f>
        <v>3545.89</v>
      </c>
      <c r="D13" s="28" t="s">
        <v>109</v>
      </c>
    </row>
    <row r="14" spans="2:4" x14ac:dyDescent="0.35">
      <c r="B14" s="26" t="s">
        <v>110</v>
      </c>
      <c r="C14" s="43">
        <f>'Transaction Data'!C29</f>
        <v>1472.4</v>
      </c>
      <c r="D14" s="28" t="s">
        <v>111</v>
      </c>
    </row>
    <row r="15" spans="2:4" x14ac:dyDescent="0.35">
      <c r="B15" s="26" t="s">
        <v>112</v>
      </c>
      <c r="C15" s="44">
        <f>$C$7*(C20+C21)</f>
        <v>61.448749999999997</v>
      </c>
      <c r="D15" s="45" t="s">
        <v>113</v>
      </c>
    </row>
    <row r="16" spans="2:4" x14ac:dyDescent="0.35">
      <c r="B16" s="26" t="s">
        <v>114</v>
      </c>
      <c r="C16" s="44">
        <f>$C$8*'Transaction Data'!C8</f>
        <v>75</v>
      </c>
      <c r="D16" s="45" t="s">
        <v>115</v>
      </c>
    </row>
    <row r="17" spans="2:4" x14ac:dyDescent="0.35">
      <c r="B17" s="31" t="s">
        <v>116</v>
      </c>
      <c r="C17" s="46">
        <f>SUM(C13:C16)</f>
        <v>5154.7387499999995</v>
      </c>
      <c r="D17" s="28" t="s">
        <v>117</v>
      </c>
    </row>
    <row r="19" spans="2:4" x14ac:dyDescent="0.35">
      <c r="B19" s="20" t="s">
        <v>118</v>
      </c>
      <c r="C19" s="22" t="s">
        <v>107</v>
      </c>
      <c r="D19" s="23" t="s">
        <v>96</v>
      </c>
    </row>
    <row r="20" spans="2:4" x14ac:dyDescent="0.35">
      <c r="B20" s="26" t="s">
        <v>119</v>
      </c>
      <c r="C20" s="44">
        <f>$C$6*'Transaction Data'!C19</f>
        <v>2457.9499999999998</v>
      </c>
      <c r="D20" s="45" t="s">
        <v>120</v>
      </c>
    </row>
    <row r="21" spans="2:4" x14ac:dyDescent="0.35">
      <c r="B21" s="26" t="s">
        <v>102</v>
      </c>
      <c r="C21" s="44">
        <f>$C$9</f>
        <v>0</v>
      </c>
      <c r="D21" s="45" t="s">
        <v>121</v>
      </c>
    </row>
    <row r="22" spans="2:4" x14ac:dyDescent="0.35">
      <c r="B22" s="26" t="s">
        <v>122</v>
      </c>
      <c r="C22" s="44">
        <f>$C$10</f>
        <v>0</v>
      </c>
      <c r="D22" s="45" t="s">
        <v>123</v>
      </c>
    </row>
    <row r="23" spans="2:4" x14ac:dyDescent="0.35">
      <c r="B23" s="26" t="s">
        <v>124</v>
      </c>
      <c r="C23" s="44">
        <f>$C$17-C20-C21-C22</f>
        <v>2696.7887499999997</v>
      </c>
      <c r="D23" s="28" t="s">
        <v>125</v>
      </c>
    </row>
    <row r="24" spans="2:4" x14ac:dyDescent="0.35">
      <c r="B24" s="31" t="s">
        <v>126</v>
      </c>
      <c r="C24" s="46">
        <f>SUM(C20:C23)</f>
        <v>5154.7387499999995</v>
      </c>
      <c r="D24" s="28" t="s">
        <v>127</v>
      </c>
    </row>
    <row r="26" spans="2:4" x14ac:dyDescent="0.35">
      <c r="B26" s="20" t="s">
        <v>128</v>
      </c>
      <c r="C26" s="22" t="s">
        <v>4</v>
      </c>
      <c r="D26" s="23" t="s">
        <v>96</v>
      </c>
    </row>
    <row r="27" spans="2:4" x14ac:dyDescent="0.35">
      <c r="B27" s="35" t="s">
        <v>129</v>
      </c>
      <c r="C27" s="47">
        <f>C24-C17</f>
        <v>0</v>
      </c>
      <c r="D27" s="28" t="s">
        <v>130</v>
      </c>
    </row>
    <row r="28" spans="2:4" x14ac:dyDescent="0.35">
      <c r="B28" s="26" t="s">
        <v>131</v>
      </c>
      <c r="C28" s="48">
        <f>(C20+C21)/'Transaction Data'!C19</f>
        <v>5.5</v>
      </c>
      <c r="D28" s="28" t="s">
        <v>132</v>
      </c>
    </row>
    <row r="29" spans="2:4" x14ac:dyDescent="0.35">
      <c r="B29" s="26" t="s">
        <v>133</v>
      </c>
      <c r="C29" s="49">
        <f>C23/C24</f>
        <v>0.52316691122319248</v>
      </c>
      <c r="D29" s="28" t="s">
        <v>134</v>
      </c>
    </row>
    <row r="31" spans="2:4" x14ac:dyDescent="0.35">
      <c r="B31" s="26" t="s">
        <v>135</v>
      </c>
      <c r="C31" s="44">
        <f>C20+C21+C23</f>
        <v>5154.7387499999995</v>
      </c>
      <c r="D31" s="28" t="s">
        <v>136</v>
      </c>
    </row>
    <row r="32" spans="2:4" x14ac:dyDescent="0.35">
      <c r="B32" s="26" t="s">
        <v>13</v>
      </c>
      <c r="C32" s="43">
        <f>'Transaction Data'!C11</f>
        <v>5200</v>
      </c>
      <c r="D32" s="28" t="s">
        <v>137</v>
      </c>
    </row>
    <row r="33" spans="2:4" x14ac:dyDescent="0.35">
      <c r="B33" s="26" t="s">
        <v>138</v>
      </c>
      <c r="C33" s="50">
        <f>C31-C32</f>
        <v>-45.261250000000473</v>
      </c>
      <c r="D33" s="28" t="s">
        <v>139</v>
      </c>
    </row>
    <row r="34" spans="2:4" x14ac:dyDescent="0.35">
      <c r="B34" s="26" t="s">
        <v>140</v>
      </c>
      <c r="C34" s="51">
        <f>C33/C32</f>
        <v>-8.7040865384616292E-3</v>
      </c>
      <c r="D34" s="28" t="s">
        <v>141</v>
      </c>
    </row>
    <row r="36" spans="2:4" ht="46" customHeight="1" x14ac:dyDescent="0.35">
      <c r="B36" s="257" t="s">
        <v>142</v>
      </c>
      <c r="C36" s="257"/>
      <c r="D36" s="257"/>
    </row>
  </sheetData>
  <mergeCells count="4">
    <mergeCell ref="B1:D1"/>
    <mergeCell ref="B2:D2"/>
    <mergeCell ref="B3:D3"/>
    <mergeCell ref="B36:D36"/>
  </mergeCells>
  <conditionalFormatting sqref="C27">
    <cfRule type="expression" dxfId="0" priority="1">
      <formula>ROUND(C27,6)&lt;&gt;0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D8E4-7194-4A8C-B27C-0840B9BAE933}">
  <dimension ref="A1:I72"/>
  <sheetViews>
    <sheetView showGridLines="0" workbookViewId="0">
      <pane xSplit="2" ySplit="15" topLeftCell="C63" activePane="bottomRight" state="frozen"/>
      <selection pane="topRight" activeCell="C1" sqref="C1"/>
      <selection pane="bottomLeft" activeCell="A6" sqref="A6"/>
      <selection pane="bottomRight"/>
    </sheetView>
  </sheetViews>
  <sheetFormatPr defaultRowHeight="14.5" x14ac:dyDescent="0.35"/>
  <cols>
    <col min="1" max="1" width="3.26953125" customWidth="1"/>
    <col min="2" max="2" width="54.54296875" customWidth="1"/>
    <col min="3" max="8" width="14.90625" customWidth="1"/>
    <col min="9" max="9" width="78.1796875" customWidth="1"/>
  </cols>
  <sheetData>
    <row r="1" spans="1:9" ht="20" customHeight="1" x14ac:dyDescent="0.35">
      <c r="A1" s="18"/>
      <c r="B1" s="253" t="s">
        <v>59</v>
      </c>
      <c r="C1" s="253"/>
      <c r="D1" s="253"/>
      <c r="E1" s="253"/>
      <c r="F1" s="253"/>
      <c r="G1" s="253"/>
      <c r="H1" s="253"/>
      <c r="I1" s="253"/>
    </row>
    <row r="2" spans="1:9" ht="20" customHeight="1" x14ac:dyDescent="0.35">
      <c r="A2" s="18"/>
      <c r="B2" s="254" t="str">
        <f>"Tab 3 — Operating Model  |  FY2025A actuals + five fiscal-year projection (FY2026E–FY2030E), of which FY2026E is a "&amp;TEXT('4 · Debt Schedule &amp; FCF'!$C$101,"0")&amp;"-day STUB from the "&amp;TEXT('4 · Debt Schedule &amp; FCF'!$C$98,"dd-mmm-yyyy")&amp;" close (scaled in Tab 4 section 9, NOT here)  |  "&amp;TEXT('5 · Returns &amp; Sensitivities'!$C$6,"0.00")&amp;"-year hold, FY2030E = exit year  |  US$ in millions unless noted"</f>
        <v>Tab 3 — Operating Model  |  FY2025A actuals + five fiscal-year projection (FY2026E–FY2030E), of which FY2026E is a 16-day STUB from the 15-Dec-2026 close (scaled in Tab 4 section 9, NOT here)  |  4.05-year hold, FY2030E = exit year  |  US$ in millions unless noted</v>
      </c>
      <c r="C2" s="254"/>
      <c r="D2" s="254"/>
      <c r="E2" s="254"/>
      <c r="F2" s="254"/>
      <c r="G2" s="254"/>
      <c r="H2" s="254"/>
      <c r="I2" s="254"/>
    </row>
    <row r="3" spans="1:9" ht="20" customHeight="1" x14ac:dyDescent="0.35">
      <c r="A3" s="18"/>
      <c r="B3" s="258" t="s">
        <v>473</v>
      </c>
      <c r="C3" s="258"/>
      <c r="D3" s="258"/>
      <c r="E3" s="258"/>
      <c r="F3" s="258"/>
      <c r="G3" s="258"/>
      <c r="H3" s="258"/>
      <c r="I3" s="258"/>
    </row>
    <row r="4" spans="1:9" x14ac:dyDescent="0.35">
      <c r="A4" s="18"/>
      <c r="B4" s="18"/>
      <c r="C4" s="18"/>
      <c r="D4" s="18"/>
      <c r="E4" s="18"/>
      <c r="F4" s="18"/>
      <c r="G4" s="18"/>
      <c r="H4" s="18"/>
      <c r="I4" s="18"/>
    </row>
    <row r="5" spans="1:9" x14ac:dyDescent="0.35">
      <c r="B5" s="70" t="s">
        <v>474</v>
      </c>
      <c r="C5" s="71" t="s">
        <v>4</v>
      </c>
      <c r="D5" s="71" t="s">
        <v>145</v>
      </c>
      <c r="E5" s="71" t="s">
        <v>146</v>
      </c>
      <c r="F5" s="71" t="s">
        <v>147</v>
      </c>
      <c r="G5" s="71" t="s">
        <v>148</v>
      </c>
      <c r="H5" s="71" t="s">
        <v>149</v>
      </c>
      <c r="I5" s="165" t="s">
        <v>96</v>
      </c>
    </row>
    <row r="6" spans="1:9" x14ac:dyDescent="0.35">
      <c r="B6" s="161" t="s">
        <v>472</v>
      </c>
      <c r="C6" s="162">
        <v>1</v>
      </c>
      <c r="I6" s="52" t="s">
        <v>476</v>
      </c>
    </row>
    <row r="7" spans="1:9" x14ac:dyDescent="0.35">
      <c r="B7" s="58" t="s">
        <v>313</v>
      </c>
      <c r="C7" s="199" t="str">
        <f>CHOOSE($C$6,"Base","Downside","STRESS")</f>
        <v>Base</v>
      </c>
      <c r="I7" s="52" t="s">
        <v>314</v>
      </c>
    </row>
    <row r="8" spans="1:9" x14ac:dyDescent="0.35">
      <c r="B8" s="167" t="s">
        <v>475</v>
      </c>
      <c r="I8" s="168"/>
    </row>
    <row r="9" spans="1:9" x14ac:dyDescent="0.35">
      <c r="B9" s="53" t="s">
        <v>315</v>
      </c>
      <c r="D9" s="54">
        <v>0.05</v>
      </c>
      <c r="E9" s="54">
        <v>0.05</v>
      </c>
      <c r="F9" s="54">
        <v>0.05</v>
      </c>
      <c r="G9" s="54">
        <v>0.05</v>
      </c>
      <c r="H9" s="54">
        <v>0.05</v>
      </c>
      <c r="I9" s="52" t="s">
        <v>319</v>
      </c>
    </row>
    <row r="10" spans="1:9" x14ac:dyDescent="0.35">
      <c r="B10" s="53" t="s">
        <v>316</v>
      </c>
      <c r="D10" s="54">
        <v>0.03</v>
      </c>
      <c r="E10" s="54">
        <v>0.03</v>
      </c>
      <c r="F10" s="54">
        <v>0.03</v>
      </c>
      <c r="G10" s="54">
        <v>0.03</v>
      </c>
      <c r="H10" s="54">
        <v>0.03</v>
      </c>
      <c r="I10" s="52" t="s">
        <v>320</v>
      </c>
    </row>
    <row r="11" spans="1:9" x14ac:dyDescent="0.35">
      <c r="B11" s="53" t="s">
        <v>468</v>
      </c>
      <c r="D11" s="200">
        <v>-0.03</v>
      </c>
      <c r="E11" s="200">
        <v>0</v>
      </c>
      <c r="F11" s="200">
        <v>0</v>
      </c>
      <c r="G11" s="200">
        <v>0</v>
      </c>
      <c r="H11" s="200">
        <v>0</v>
      </c>
      <c r="I11" s="52" t="s">
        <v>469</v>
      </c>
    </row>
    <row r="12" spans="1:9" x14ac:dyDescent="0.35">
      <c r="B12" s="53" t="s">
        <v>317</v>
      </c>
      <c r="D12" s="54">
        <v>0.16200000000000001</v>
      </c>
      <c r="E12" s="54">
        <v>0.16500000000000001</v>
      </c>
      <c r="F12" s="54">
        <v>0.16800000000000001</v>
      </c>
      <c r="G12" s="54">
        <v>0.17100000000000001</v>
      </c>
      <c r="H12" s="54">
        <v>0.17399999999999999</v>
      </c>
      <c r="I12" s="52" t="s">
        <v>321</v>
      </c>
    </row>
    <row r="13" spans="1:9" x14ac:dyDescent="0.35">
      <c r="B13" s="55" t="s">
        <v>318</v>
      </c>
      <c r="C13" s="159"/>
      <c r="D13" s="7">
        <v>0.16200000000000001</v>
      </c>
      <c r="E13" s="7">
        <v>0.16200000000000001</v>
      </c>
      <c r="F13" s="7">
        <v>0.16200000000000001</v>
      </c>
      <c r="G13" s="7">
        <v>0.16200000000000001</v>
      </c>
      <c r="H13" s="7">
        <v>0.16200000000000001</v>
      </c>
      <c r="I13" s="57" t="s">
        <v>322</v>
      </c>
    </row>
    <row r="14" spans="1:9" x14ac:dyDescent="0.35">
      <c r="B14" s="55" t="s">
        <v>470</v>
      </c>
      <c r="C14" s="159"/>
      <c r="D14" s="7">
        <v>0.16200000000000001</v>
      </c>
      <c r="E14" s="7">
        <v>0.1565</v>
      </c>
      <c r="F14" s="7">
        <v>0.151</v>
      </c>
      <c r="G14" s="7">
        <v>0.14549999999999999</v>
      </c>
      <c r="H14" s="7">
        <v>0.14000000000000001</v>
      </c>
      <c r="I14" s="57" t="s">
        <v>471</v>
      </c>
    </row>
    <row r="15" spans="1:9" x14ac:dyDescent="0.35">
      <c r="A15" s="18"/>
      <c r="B15" s="70" t="s">
        <v>143</v>
      </c>
      <c r="C15" s="71" t="s">
        <v>144</v>
      </c>
      <c r="D15" s="71" t="s">
        <v>145</v>
      </c>
      <c r="E15" s="71" t="s">
        <v>146</v>
      </c>
      <c r="F15" s="71" t="s">
        <v>147</v>
      </c>
      <c r="G15" s="71" t="s">
        <v>148</v>
      </c>
      <c r="H15" s="71" t="s">
        <v>149</v>
      </c>
      <c r="I15" s="72" t="s">
        <v>96</v>
      </c>
    </row>
    <row r="16" spans="1:9" x14ac:dyDescent="0.35">
      <c r="A16" s="18"/>
      <c r="B16" s="53" t="s">
        <v>150</v>
      </c>
      <c r="C16" s="18"/>
      <c r="D16" s="68">
        <f>CHOOSE($C$6,D9,D10,D11)</f>
        <v>0.05</v>
      </c>
      <c r="E16" s="68">
        <f>CHOOSE($C$6,E9,E10,E11)</f>
        <v>0.05</v>
      </c>
      <c r="F16" s="68">
        <f>CHOOSE($C$6,F9,F10,F11)</f>
        <v>0.05</v>
      </c>
      <c r="G16" s="68">
        <f>CHOOSE($C$6,G9,G10,G11)</f>
        <v>0.05</v>
      </c>
      <c r="H16" s="68">
        <f>CHOOSE($C$6,H9,H10,H11)</f>
        <v>0.05</v>
      </c>
      <c r="I16" s="52" t="s">
        <v>477</v>
      </c>
    </row>
    <row r="17" spans="1:9" x14ac:dyDescent="0.35">
      <c r="A17" s="18"/>
      <c r="B17" s="53" t="s">
        <v>151</v>
      </c>
      <c r="C17" s="18"/>
      <c r="D17" s="68">
        <f>CHOOSE($C$6,D12,D13,D14)</f>
        <v>0.16200000000000001</v>
      </c>
      <c r="E17" s="68">
        <f>CHOOSE($C$6,E12,E13,E14)</f>
        <v>0.16500000000000001</v>
      </c>
      <c r="F17" s="68">
        <f>CHOOSE($C$6,F12,F13,F14)</f>
        <v>0.16800000000000001</v>
      </c>
      <c r="G17" s="68">
        <f>CHOOSE($C$6,G12,G13,G14)</f>
        <v>0.17100000000000001</v>
      </c>
      <c r="H17" s="68">
        <f>CHOOSE($C$6,H12,H13,H14)</f>
        <v>0.17399999999999999</v>
      </c>
      <c r="I17" s="52" t="s">
        <v>478</v>
      </c>
    </row>
    <row r="18" spans="1:9" x14ac:dyDescent="0.35">
      <c r="A18" s="18"/>
      <c r="B18" s="53" t="s">
        <v>152</v>
      </c>
      <c r="C18" s="18"/>
      <c r="D18" s="54">
        <v>3.5000000000000003E-2</v>
      </c>
      <c r="E18" s="54">
        <v>3.5000000000000003E-2</v>
      </c>
      <c r="F18" s="54">
        <v>3.5000000000000003E-2</v>
      </c>
      <c r="G18" s="54">
        <v>3.5000000000000003E-2</v>
      </c>
      <c r="H18" s="54">
        <v>3.5000000000000003E-2</v>
      </c>
      <c r="I18" s="52" t="s">
        <v>153</v>
      </c>
    </row>
    <row r="19" spans="1:9" x14ac:dyDescent="0.35">
      <c r="A19" s="18"/>
      <c r="B19" s="53" t="s">
        <v>154</v>
      </c>
      <c r="C19" s="18"/>
      <c r="D19" s="54">
        <v>6.0000000000000001E-3</v>
      </c>
      <c r="E19" s="54">
        <v>6.0000000000000001E-3</v>
      </c>
      <c r="F19" s="54">
        <v>6.0000000000000001E-3</v>
      </c>
      <c r="G19" s="54">
        <v>6.0000000000000001E-3</v>
      </c>
      <c r="H19" s="54">
        <v>6.0000000000000001E-3</v>
      </c>
      <c r="I19" s="52" t="s">
        <v>155</v>
      </c>
    </row>
    <row r="20" spans="1:9" x14ac:dyDescent="0.35">
      <c r="A20" s="18"/>
      <c r="B20" s="238" t="s">
        <v>613</v>
      </c>
      <c r="C20" s="56"/>
      <c r="D20" s="239">
        <v>0.08</v>
      </c>
      <c r="E20" s="239">
        <v>0.08</v>
      </c>
      <c r="F20" s="239">
        <v>0.08</v>
      </c>
      <c r="G20" s="239">
        <v>0.08</v>
      </c>
      <c r="H20" s="239">
        <v>0.08</v>
      </c>
      <c r="I20" s="57" t="s">
        <v>614</v>
      </c>
    </row>
    <row r="21" spans="1:9" x14ac:dyDescent="0.35">
      <c r="A21" s="18"/>
      <c r="B21" s="18"/>
      <c r="C21" s="18"/>
      <c r="D21" s="18"/>
      <c r="E21" s="18"/>
      <c r="F21" s="18"/>
      <c r="G21" s="18"/>
      <c r="H21" s="18"/>
      <c r="I21" s="18"/>
    </row>
    <row r="22" spans="1:9" x14ac:dyDescent="0.35">
      <c r="A22" s="18"/>
      <c r="B22" s="70" t="s">
        <v>156</v>
      </c>
      <c r="C22" s="71" t="s">
        <v>144</v>
      </c>
      <c r="D22" s="71" t="s">
        <v>145</v>
      </c>
      <c r="E22" s="71" t="s">
        <v>146</v>
      </c>
      <c r="F22" s="71" t="s">
        <v>147</v>
      </c>
      <c r="G22" s="71" t="s">
        <v>148</v>
      </c>
      <c r="H22" s="71" t="s">
        <v>149</v>
      </c>
      <c r="I22" s="72" t="s">
        <v>96</v>
      </c>
    </row>
    <row r="23" spans="1:9" x14ac:dyDescent="0.35">
      <c r="A23" s="18"/>
      <c r="B23" s="53" t="s">
        <v>157</v>
      </c>
      <c r="C23" s="60">
        <f>'Transaction Data'!C18</f>
        <v>2757.99</v>
      </c>
      <c r="D23" s="61">
        <f>C23*(1+D16)</f>
        <v>2895.8894999999998</v>
      </c>
      <c r="E23" s="61">
        <f t="shared" ref="E23:H23" si="0">D23*(1+E16)</f>
        <v>3040.6839749999999</v>
      </c>
      <c r="F23" s="61">
        <f t="shared" si="0"/>
        <v>3192.71817375</v>
      </c>
      <c r="G23" s="61">
        <f t="shared" si="0"/>
        <v>3352.3540824375</v>
      </c>
      <c r="H23" s="61">
        <f t="shared" si="0"/>
        <v>3519.9717865593752</v>
      </c>
      <c r="I23" s="52" t="s">
        <v>158</v>
      </c>
    </row>
    <row r="24" spans="1:9" x14ac:dyDescent="0.35">
      <c r="A24" s="18"/>
      <c r="B24" s="58" t="s">
        <v>159</v>
      </c>
      <c r="C24" s="59"/>
      <c r="D24" s="59">
        <f>D23/C23-1</f>
        <v>5.0000000000000044E-2</v>
      </c>
      <c r="E24" s="59">
        <f t="shared" ref="E24:H24" si="1">E23/D23-1</f>
        <v>5.0000000000000044E-2</v>
      </c>
      <c r="F24" s="59">
        <f t="shared" si="1"/>
        <v>5.0000000000000044E-2</v>
      </c>
      <c r="G24" s="59">
        <f t="shared" si="1"/>
        <v>5.0000000000000044E-2</v>
      </c>
      <c r="H24" s="59">
        <f t="shared" si="1"/>
        <v>5.0000000000000044E-2</v>
      </c>
      <c r="I24" s="52" t="s">
        <v>325</v>
      </c>
    </row>
    <row r="25" spans="1:9" x14ac:dyDescent="0.35">
      <c r="A25" s="18"/>
      <c r="B25" s="53" t="s">
        <v>160</v>
      </c>
      <c r="C25" s="60">
        <f>'Transaction Data'!C19</f>
        <v>446.9</v>
      </c>
      <c r="D25" s="61">
        <f>D17*D23</f>
        <v>469.13409899999999</v>
      </c>
      <c r="E25" s="61">
        <f t="shared" ref="E25:H25" si="2">E17*E23</f>
        <v>501.712855875</v>
      </c>
      <c r="F25" s="61">
        <f t="shared" si="2"/>
        <v>536.37665319000007</v>
      </c>
      <c r="G25" s="61">
        <f t="shared" si="2"/>
        <v>573.25254809681257</v>
      </c>
      <c r="H25" s="61">
        <f t="shared" si="2"/>
        <v>612.4750908613313</v>
      </c>
      <c r="I25" s="52" t="s">
        <v>161</v>
      </c>
    </row>
    <row r="26" spans="1:9" x14ac:dyDescent="0.35">
      <c r="A26" s="18"/>
      <c r="B26" s="58" t="s">
        <v>162</v>
      </c>
      <c r="C26" s="59">
        <f>C25/C23</f>
        <v>0.16203829600542424</v>
      </c>
      <c r="D26" s="59">
        <f>D25/D23</f>
        <v>0.16200000000000001</v>
      </c>
      <c r="E26" s="59">
        <f t="shared" ref="E26:H26" si="3">E25/E23</f>
        <v>0.16500000000000001</v>
      </c>
      <c r="F26" s="59">
        <f t="shared" si="3"/>
        <v>0.16800000000000001</v>
      </c>
      <c r="G26" s="59">
        <f t="shared" si="3"/>
        <v>0.17100000000000001</v>
      </c>
      <c r="H26" s="59">
        <f t="shared" si="3"/>
        <v>0.17399999999999999</v>
      </c>
      <c r="I26" s="52" t="s">
        <v>163</v>
      </c>
    </row>
    <row r="27" spans="1:9" x14ac:dyDescent="0.35">
      <c r="A27" s="18"/>
      <c r="B27" s="53" t="s">
        <v>164</v>
      </c>
      <c r="C27" s="60">
        <f>'Transaction Data'!C21</f>
        <v>98.27</v>
      </c>
      <c r="D27" s="61">
        <f>D18*D23</f>
        <v>101.3561325</v>
      </c>
      <c r="E27" s="61">
        <f t="shared" ref="E27:H27" si="4">E18*E23</f>
        <v>106.423939125</v>
      </c>
      <c r="F27" s="61">
        <f t="shared" si="4"/>
        <v>111.74513608125001</v>
      </c>
      <c r="G27" s="61">
        <f t="shared" si="4"/>
        <v>117.33239288531252</v>
      </c>
      <c r="H27" s="61">
        <f t="shared" si="4"/>
        <v>123.19901252957814</v>
      </c>
      <c r="I27" s="52" t="s">
        <v>165</v>
      </c>
    </row>
    <row r="28" spans="1:9" x14ac:dyDescent="0.35">
      <c r="A28" s="18"/>
      <c r="B28" s="62" t="s">
        <v>166</v>
      </c>
      <c r="C28" s="63">
        <f>C25-C27</f>
        <v>348.63</v>
      </c>
      <c r="D28" s="63">
        <f>D25-D27</f>
        <v>367.77796649999999</v>
      </c>
      <c r="E28" s="63">
        <f t="shared" ref="E28:H28" si="5">E25-E27</f>
        <v>395.28891675</v>
      </c>
      <c r="F28" s="63">
        <f t="shared" si="5"/>
        <v>424.63151710875007</v>
      </c>
      <c r="G28" s="63">
        <f t="shared" si="5"/>
        <v>455.92015521150006</v>
      </c>
      <c r="H28" s="63">
        <f t="shared" si="5"/>
        <v>489.27607833175318</v>
      </c>
      <c r="I28" s="64" t="s">
        <v>167</v>
      </c>
    </row>
    <row r="29" spans="1:9" x14ac:dyDescent="0.35">
      <c r="A29" s="18"/>
      <c r="B29" s="58" t="s">
        <v>168</v>
      </c>
      <c r="C29" s="59">
        <f>C28/C23</f>
        <v>0.12640727486321562</v>
      </c>
      <c r="D29" s="59">
        <f>D28/D23</f>
        <v>0.127</v>
      </c>
      <c r="E29" s="59">
        <f t="shared" ref="E29:H29" si="6">E28/E23</f>
        <v>0.13</v>
      </c>
      <c r="F29" s="59">
        <f t="shared" si="6"/>
        <v>0.13300000000000003</v>
      </c>
      <c r="G29" s="59">
        <f t="shared" si="6"/>
        <v>0.13600000000000001</v>
      </c>
      <c r="H29" s="59">
        <f t="shared" si="6"/>
        <v>0.13900000000000001</v>
      </c>
      <c r="I29" s="52" t="s">
        <v>169</v>
      </c>
    </row>
    <row r="30" spans="1:9" x14ac:dyDescent="0.35">
      <c r="A30" s="18"/>
      <c r="B30" s="53" t="s">
        <v>170</v>
      </c>
      <c r="C30" s="60">
        <f>'Transaction Data'!C24-'Transaction Data'!C25</f>
        <v>17</v>
      </c>
      <c r="D30" s="61">
        <f>D19*D23</f>
        <v>17.375336999999998</v>
      </c>
      <c r="E30" s="61">
        <f t="shared" ref="E30:H30" si="7">E19*E23</f>
        <v>18.244103849999998</v>
      </c>
      <c r="F30" s="61">
        <f t="shared" si="7"/>
        <v>19.156309042500002</v>
      </c>
      <c r="G30" s="61">
        <f t="shared" si="7"/>
        <v>20.114124494624999</v>
      </c>
      <c r="H30" s="61">
        <f t="shared" si="7"/>
        <v>21.119830719356251</v>
      </c>
      <c r="I30" s="52" t="s">
        <v>171</v>
      </c>
    </row>
    <row r="31" spans="1:9" x14ac:dyDescent="0.35">
      <c r="A31" s="18"/>
      <c r="B31" s="53" t="s">
        <v>172</v>
      </c>
      <c r="C31" s="61"/>
      <c r="D31" s="61">
        <f>D70</f>
        <v>13.946049999999957</v>
      </c>
      <c r="E31" s="61">
        <f>E70</f>
        <v>14.643352500000162</v>
      </c>
      <c r="F31" s="61">
        <f>F70</f>
        <v>15.375520124999866</v>
      </c>
      <c r="G31" s="61">
        <f>G70</f>
        <v>16.144296131250144</v>
      </c>
      <c r="H31" s="61">
        <f>H70</f>
        <v>16.951510937812373</v>
      </c>
      <c r="I31" s="64" t="s">
        <v>612</v>
      </c>
    </row>
    <row r="32" spans="1:9" x14ac:dyDescent="0.35">
      <c r="A32" s="18"/>
      <c r="B32" s="65" t="s">
        <v>173</v>
      </c>
      <c r="C32" s="66">
        <f>C25-C30-C31</f>
        <v>429.9</v>
      </c>
      <c r="D32" s="66">
        <f>D25-D30-D31</f>
        <v>437.81271200000003</v>
      </c>
      <c r="E32" s="66">
        <f t="shared" ref="E32:H32" si="8">E25-E30-E31</f>
        <v>468.82539952499985</v>
      </c>
      <c r="F32" s="66">
        <f t="shared" si="8"/>
        <v>501.84482402250023</v>
      </c>
      <c r="G32" s="66">
        <f t="shared" si="8"/>
        <v>536.99412747093743</v>
      </c>
      <c r="H32" s="66">
        <f t="shared" si="8"/>
        <v>574.40374920416264</v>
      </c>
      <c r="I32" s="67" t="s">
        <v>174</v>
      </c>
    </row>
    <row r="33" spans="1:9" x14ac:dyDescent="0.35">
      <c r="A33" s="18"/>
      <c r="B33" s="18"/>
      <c r="C33" s="18"/>
      <c r="D33" s="18"/>
      <c r="E33" s="18"/>
      <c r="F33" s="18"/>
      <c r="G33" s="18"/>
      <c r="H33" s="18"/>
      <c r="I33" s="18"/>
    </row>
    <row r="34" spans="1:9" x14ac:dyDescent="0.35">
      <c r="A34" s="18"/>
      <c r="B34" s="70" t="s">
        <v>175</v>
      </c>
      <c r="C34" s="73" t="s">
        <v>4</v>
      </c>
      <c r="D34" s="74"/>
      <c r="E34" s="74"/>
      <c r="F34" s="74"/>
      <c r="G34" s="74"/>
      <c r="H34" s="74"/>
      <c r="I34" s="72" t="s">
        <v>96</v>
      </c>
    </row>
    <row r="35" spans="1:9" x14ac:dyDescent="0.35">
      <c r="A35" s="18"/>
      <c r="B35" s="53" t="s">
        <v>176</v>
      </c>
      <c r="C35" s="68">
        <f>(H23/C23)^(1/5)-1</f>
        <v>5.0000000000000044E-2</v>
      </c>
      <c r="D35" s="18"/>
      <c r="E35" s="18"/>
      <c r="F35" s="18"/>
      <c r="G35" s="18"/>
      <c r="H35" s="18"/>
      <c r="I35" s="52" t="s">
        <v>621</v>
      </c>
    </row>
    <row r="36" spans="1:9" x14ac:dyDescent="0.35">
      <c r="A36" s="18"/>
      <c r="B36" s="53" t="s">
        <v>177</v>
      </c>
      <c r="C36" s="68">
        <f>(H25/C25)^(1/5)-1</f>
        <v>6.506377876670344E-2</v>
      </c>
      <c r="D36" s="18"/>
      <c r="E36" s="18"/>
      <c r="F36" s="18"/>
      <c r="G36" s="18"/>
      <c r="H36" s="18"/>
      <c r="I36" s="52" t="s">
        <v>178</v>
      </c>
    </row>
    <row r="37" spans="1:9" x14ac:dyDescent="0.35">
      <c r="A37" s="18"/>
      <c r="B37" s="53" t="s">
        <v>622</v>
      </c>
      <c r="C37" s="61">
        <f>SUMPRODUCT(D32:H32,'4 · Debt Schedule &amp; FCF'!C102:G102)</f>
        <v>2101.2598903376688</v>
      </c>
      <c r="D37" s="18"/>
      <c r="E37" s="18"/>
      <c r="F37" s="18"/>
      <c r="G37" s="18"/>
      <c r="H37" s="18"/>
      <c r="I37" s="52" t="s">
        <v>623</v>
      </c>
    </row>
    <row r="38" spans="1:9" x14ac:dyDescent="0.35">
      <c r="A38" s="18"/>
      <c r="B38" s="69" t="s">
        <v>179</v>
      </c>
      <c r="C38" s="66">
        <f>H25</f>
        <v>612.4750908613313</v>
      </c>
      <c r="D38" s="56"/>
      <c r="E38" s="56"/>
      <c r="F38" s="56"/>
      <c r="G38" s="56"/>
      <c r="H38" s="56"/>
      <c r="I38" s="57" t="s">
        <v>180</v>
      </c>
    </row>
    <row r="39" spans="1:9" x14ac:dyDescent="0.35">
      <c r="B39" s="58" t="s">
        <v>313</v>
      </c>
      <c r="C39" s="166" t="str">
        <f>$C$7</f>
        <v>Base</v>
      </c>
      <c r="I39" s="52" t="s">
        <v>323</v>
      </c>
    </row>
    <row r="40" spans="1:9" x14ac:dyDescent="0.35">
      <c r="B40" s="161" t="str">
        <f>"IRR  —  selected case  ("&amp;TEXT('5 · Returns &amp; Sensitivities'!$C$6,"0.00")&amp;"-year hold to FY2030E)"</f>
        <v>IRR  —  selected case  (4.05-year hold to FY2030E)</v>
      </c>
      <c r="C40" s="163">
        <f ca="1">'5 · Returns &amp; Sensitivities'!C20</f>
        <v>0.17269537284178704</v>
      </c>
      <c r="I40" s="52" t="s">
        <v>479</v>
      </c>
    </row>
    <row r="41" spans="1:9" x14ac:dyDescent="0.35">
      <c r="B41" s="161" t="s">
        <v>324</v>
      </c>
      <c r="C41" s="164">
        <f ca="1">'4 · Debt Schedule &amp; FCF'!G59</f>
        <v>2.3678759047120499</v>
      </c>
      <c r="I41" s="52" t="s">
        <v>480</v>
      </c>
    </row>
    <row r="42" spans="1:9" x14ac:dyDescent="0.35">
      <c r="B42" s="167" t="str">
        <f ca="1">"Scenario read-through:  "&amp;$C$7&amp;" case  —  FY2026E revenue growth "&amp;TEXT($D$16,"0.0%")&amp;", revenue CAGR "&amp;TEXT($C$35,"0.0%")&amp;", FY2030E Adj. EBITDA margin "&amp;TEXT($H$17,"0.0%")&amp;"  →  FY2030E Adj. EBITDA "&amp;TEXT($H$25,"$#,##0.0")&amp;"M, exit net leverage "&amp;TEXT($C$41,"0.00")&amp;"x, sponsor IRR "&amp;TEXT($C$40,"0.0%")&amp;" over the "&amp;TEXT('5 · Returns &amp; Sensitivities'!$C$6,"0.00")&amp;"-year hold."</f>
        <v>Scenario read-through:  Base case  —  FY2026E revenue growth 5.0%, revenue CAGR 5.0%, FY2030E Adj. EBITDA margin 17.4%  →  FY2030E Adj. EBITDA $612.5M, exit net leverage 2.37x, sponsor IRR 17.3% over the 4.05-year hold.</v>
      </c>
    </row>
    <row r="43" spans="1:9" x14ac:dyDescent="0.35">
      <c r="A43" s="18"/>
      <c r="B43" s="18"/>
      <c r="C43" s="18"/>
      <c r="D43" s="18"/>
      <c r="E43" s="18"/>
      <c r="F43" s="18"/>
      <c r="G43" s="18"/>
      <c r="H43" s="18"/>
      <c r="I43" s="18"/>
    </row>
    <row r="44" spans="1:9" x14ac:dyDescent="0.35">
      <c r="A44" s="18"/>
      <c r="B44" s="259" t="s">
        <v>181</v>
      </c>
      <c r="C44" s="259"/>
      <c r="D44" s="259"/>
      <c r="E44" s="259"/>
      <c r="F44" s="259"/>
      <c r="G44" s="259"/>
      <c r="H44" s="259"/>
      <c r="I44" s="259"/>
    </row>
    <row r="45" spans="1:9" x14ac:dyDescent="0.35">
      <c r="A45" s="18"/>
      <c r="B45" s="18"/>
      <c r="C45" s="18"/>
      <c r="D45" s="18"/>
      <c r="E45" s="18"/>
      <c r="F45" s="18"/>
      <c r="G45" s="18"/>
      <c r="H45" s="18"/>
      <c r="I45" s="18"/>
    </row>
    <row r="46" spans="1:9" x14ac:dyDescent="0.35">
      <c r="A46" s="18"/>
      <c r="B46" s="20" t="s">
        <v>578</v>
      </c>
      <c r="C46" s="18"/>
      <c r="D46" s="18"/>
      <c r="E46" s="18"/>
      <c r="F46" s="18"/>
      <c r="G46" s="18"/>
      <c r="H46" s="18"/>
      <c r="I46" s="23" t="s">
        <v>96</v>
      </c>
    </row>
    <row r="47" spans="1:9" x14ac:dyDescent="0.35">
      <c r="A47" s="18"/>
      <c r="B47" s="90" t="s">
        <v>624</v>
      </c>
      <c r="C47" s="97" t="s">
        <v>144</v>
      </c>
      <c r="D47" s="97" t="str">
        <f>D$22</f>
        <v>FY2026E</v>
      </c>
      <c r="E47" s="97" t="str">
        <f>E$22</f>
        <v>FY2027E</v>
      </c>
      <c r="F47" s="97" t="str">
        <f>F$22</f>
        <v>FY2028E</v>
      </c>
      <c r="G47" s="97" t="str">
        <f>G$22</f>
        <v>FY2029E</v>
      </c>
      <c r="H47" s="97" t="str">
        <f>H$22</f>
        <v>FY2030E</v>
      </c>
      <c r="I47" s="18"/>
    </row>
    <row r="48" spans="1:9" x14ac:dyDescent="0.35">
      <c r="A48" s="18"/>
      <c r="B48" s="18" t="s">
        <v>579</v>
      </c>
      <c r="C48" s="230">
        <v>555.995</v>
      </c>
      <c r="D48" s="18"/>
      <c r="E48" s="18"/>
      <c r="F48" s="18"/>
      <c r="G48" s="18"/>
      <c r="H48" s="18"/>
      <c r="I48" s="18" t="s">
        <v>580</v>
      </c>
    </row>
    <row r="49" spans="1:9" x14ac:dyDescent="0.35">
      <c r="A49" s="18"/>
      <c r="B49" s="18" t="s">
        <v>581</v>
      </c>
      <c r="C49" s="230">
        <v>79.692999999999998</v>
      </c>
      <c r="D49" s="18"/>
      <c r="E49" s="18"/>
      <c r="F49" s="18"/>
      <c r="G49" s="18"/>
      <c r="H49" s="18"/>
      <c r="I49" s="18" t="s">
        <v>582</v>
      </c>
    </row>
    <row r="50" spans="1:9" x14ac:dyDescent="0.35">
      <c r="A50" s="18"/>
      <c r="B50" s="18" t="s">
        <v>583</v>
      </c>
      <c r="C50" s="230">
        <v>90.933999999999997</v>
      </c>
      <c r="D50" s="18"/>
      <c r="E50" s="18"/>
      <c r="F50" s="18"/>
      <c r="G50" s="18"/>
      <c r="H50" s="18"/>
      <c r="I50" s="18" t="s">
        <v>584</v>
      </c>
    </row>
    <row r="51" spans="1:9" x14ac:dyDescent="0.35">
      <c r="A51" s="18"/>
      <c r="B51" s="18" t="s">
        <v>585</v>
      </c>
      <c r="C51" s="230">
        <v>197.53399999999999</v>
      </c>
      <c r="D51" s="18"/>
      <c r="E51" s="18"/>
      <c r="F51" s="18"/>
      <c r="G51" s="18"/>
      <c r="H51" s="18"/>
      <c r="I51" s="18" t="s">
        <v>586</v>
      </c>
    </row>
    <row r="52" spans="1:9" x14ac:dyDescent="0.35">
      <c r="A52" s="18"/>
      <c r="B52" s="18" t="s">
        <v>587</v>
      </c>
      <c r="C52" s="230">
        <v>68.299000000000007</v>
      </c>
      <c r="D52" s="18"/>
      <c r="E52" s="18"/>
      <c r="F52" s="18"/>
      <c r="G52" s="18"/>
      <c r="H52" s="18"/>
      <c r="I52" s="18" t="s">
        <v>588</v>
      </c>
    </row>
    <row r="53" spans="1:9" x14ac:dyDescent="0.35">
      <c r="A53" s="18"/>
      <c r="B53" s="110" t="s">
        <v>589</v>
      </c>
      <c r="C53" s="229">
        <f>C48+C49-C50-C51-C52</f>
        <v>278.92100000000005</v>
      </c>
      <c r="D53" s="18"/>
      <c r="E53" s="18"/>
      <c r="F53" s="18"/>
      <c r="G53" s="18"/>
      <c r="H53" s="18"/>
      <c r="I53" s="219" t="s">
        <v>590</v>
      </c>
    </row>
    <row r="54" spans="1:9" x14ac:dyDescent="0.35">
      <c r="A54" s="18"/>
      <c r="B54" s="90" t="s">
        <v>591</v>
      </c>
      <c r="C54" s="59">
        <f>C53/C23</f>
        <v>0.10113198379979625</v>
      </c>
      <c r="D54" s="18"/>
      <c r="E54" s="18"/>
      <c r="F54" s="18"/>
      <c r="G54" s="18"/>
      <c r="H54" s="18"/>
      <c r="I54" s="18" t="s">
        <v>592</v>
      </c>
    </row>
    <row r="56" spans="1:9" x14ac:dyDescent="0.35">
      <c r="B56" s="90" t="s">
        <v>593</v>
      </c>
    </row>
    <row r="57" spans="1:9" x14ac:dyDescent="0.35">
      <c r="B57" s="18" t="s">
        <v>594</v>
      </c>
      <c r="C57" s="231">
        <f>C48/C23*365</f>
        <v>73.581911101925684</v>
      </c>
      <c r="D57" s="233">
        <f>$C$57</f>
        <v>73.581911101925684</v>
      </c>
      <c r="E57" s="233">
        <f t="shared" ref="E57:H57" si="9">$C$57</f>
        <v>73.581911101925684</v>
      </c>
      <c r="F57" s="233">
        <f t="shared" si="9"/>
        <v>73.581911101925684</v>
      </c>
      <c r="G57" s="233">
        <f t="shared" si="9"/>
        <v>73.581911101925684</v>
      </c>
      <c r="H57" s="233">
        <f t="shared" si="9"/>
        <v>73.581911101925684</v>
      </c>
      <c r="I57" s="217" t="s">
        <v>595</v>
      </c>
    </row>
    <row r="58" spans="1:9" x14ac:dyDescent="0.35">
      <c r="B58" s="18" t="s">
        <v>596</v>
      </c>
      <c r="C58" s="232">
        <f>C49/C23</f>
        <v>2.8895318692236015E-2</v>
      </c>
      <c r="D58" s="234">
        <f>$C$58</f>
        <v>2.8895318692236015E-2</v>
      </c>
      <c r="E58" s="234">
        <f t="shared" ref="E58:H58" si="10">$C$58</f>
        <v>2.8895318692236015E-2</v>
      </c>
      <c r="F58" s="234">
        <f t="shared" si="10"/>
        <v>2.8895318692236015E-2</v>
      </c>
      <c r="G58" s="234">
        <f t="shared" si="10"/>
        <v>2.8895318692236015E-2</v>
      </c>
      <c r="H58" s="234">
        <f t="shared" si="10"/>
        <v>2.8895318692236015E-2</v>
      </c>
    </row>
    <row r="59" spans="1:9" x14ac:dyDescent="0.35">
      <c r="B59" s="18" t="s">
        <v>597</v>
      </c>
      <c r="C59" s="232">
        <f>C50/C23</f>
        <v>3.2971113020714364E-2</v>
      </c>
      <c r="D59" s="234">
        <f>$C$59</f>
        <v>3.2971113020714364E-2</v>
      </c>
      <c r="E59" s="234">
        <f t="shared" ref="E59:H59" si="11">$C$59</f>
        <v>3.2971113020714364E-2</v>
      </c>
      <c r="F59" s="234">
        <f t="shared" si="11"/>
        <v>3.2971113020714364E-2</v>
      </c>
      <c r="G59" s="234">
        <f t="shared" si="11"/>
        <v>3.2971113020714364E-2</v>
      </c>
      <c r="H59" s="234">
        <f t="shared" si="11"/>
        <v>3.2971113020714364E-2</v>
      </c>
    </row>
    <row r="60" spans="1:9" x14ac:dyDescent="0.35">
      <c r="B60" s="18" t="s">
        <v>598</v>
      </c>
      <c r="C60" s="232">
        <f>C51/C23</f>
        <v>7.1622449682558681E-2</v>
      </c>
      <c r="D60" s="234">
        <f>$C$60</f>
        <v>7.1622449682558681E-2</v>
      </c>
      <c r="E60" s="234">
        <f t="shared" ref="E60:H60" si="12">$C$60</f>
        <v>7.1622449682558681E-2</v>
      </c>
      <c r="F60" s="234">
        <f t="shared" si="12"/>
        <v>7.1622449682558681E-2</v>
      </c>
      <c r="G60" s="234">
        <f t="shared" si="12"/>
        <v>7.1622449682558681E-2</v>
      </c>
      <c r="H60" s="234">
        <f t="shared" si="12"/>
        <v>7.1622449682558681E-2</v>
      </c>
      <c r="I60" t="s">
        <v>599</v>
      </c>
    </row>
    <row r="61" spans="1:9" x14ac:dyDescent="0.35">
      <c r="B61" s="18" t="s">
        <v>600</v>
      </c>
      <c r="C61" s="232">
        <f>C52/C23</f>
        <v>2.4764049180743951E-2</v>
      </c>
      <c r="D61" s="234">
        <f>$C$61</f>
        <v>2.4764049180743951E-2</v>
      </c>
      <c r="E61" s="234">
        <f t="shared" ref="E61:H61" si="13">$C$61</f>
        <v>2.4764049180743951E-2</v>
      </c>
      <c r="F61" s="234">
        <f t="shared" si="13"/>
        <v>2.4764049180743951E-2</v>
      </c>
      <c r="G61" s="234">
        <f t="shared" si="13"/>
        <v>2.4764049180743951E-2</v>
      </c>
      <c r="H61" s="234">
        <f t="shared" si="13"/>
        <v>2.4764049180743951E-2</v>
      </c>
    </row>
    <row r="63" spans="1:9" x14ac:dyDescent="0.35">
      <c r="B63" s="90" t="s">
        <v>601</v>
      </c>
    </row>
    <row r="64" spans="1:9" x14ac:dyDescent="0.35">
      <c r="B64" s="18" t="s">
        <v>579</v>
      </c>
      <c r="C64" s="235">
        <f>C48</f>
        <v>555.995</v>
      </c>
      <c r="D64" s="235">
        <f>D57/365*D23</f>
        <v>583.79475000000002</v>
      </c>
      <c r="E64" s="235">
        <f t="shared" ref="E64:H64" si="14">E57/365*E23</f>
        <v>612.98448750000011</v>
      </c>
      <c r="F64" s="235">
        <f t="shared" si="14"/>
        <v>643.63371187500013</v>
      </c>
      <c r="G64" s="235">
        <f t="shared" si="14"/>
        <v>675.81539746875012</v>
      </c>
      <c r="H64" s="235">
        <f t="shared" si="14"/>
        <v>709.60616734218763</v>
      </c>
    </row>
    <row r="65" spans="2:9" x14ac:dyDescent="0.35">
      <c r="B65" s="18" t="s">
        <v>581</v>
      </c>
      <c r="C65" s="235">
        <f>C49</f>
        <v>79.692999999999998</v>
      </c>
      <c r="D65" s="235">
        <f>D58*D23</f>
        <v>83.67765</v>
      </c>
      <c r="E65" s="235">
        <f t="shared" ref="E65:H65" si="15">E58*E23</f>
        <v>87.86153250000001</v>
      </c>
      <c r="F65" s="235">
        <f t="shared" si="15"/>
        <v>92.254609125000002</v>
      </c>
      <c r="G65" s="235">
        <f t="shared" si="15"/>
        <v>96.867339581250008</v>
      </c>
      <c r="H65" s="235">
        <f t="shared" si="15"/>
        <v>101.71070656031252</v>
      </c>
    </row>
    <row r="66" spans="2:9" x14ac:dyDescent="0.35">
      <c r="B66" s="18" t="s">
        <v>602</v>
      </c>
      <c r="C66" s="235">
        <f>C50</f>
        <v>90.933999999999997</v>
      </c>
      <c r="D66" s="235">
        <f>D59*D23</f>
        <v>95.480699999999999</v>
      </c>
      <c r="E66" s="235">
        <f t="shared" ref="E66:H66" si="16">E59*E23</f>
        <v>100.25473500000001</v>
      </c>
      <c r="F66" s="235">
        <f t="shared" si="16"/>
        <v>105.26747175000001</v>
      </c>
      <c r="G66" s="235">
        <f t="shared" si="16"/>
        <v>110.53084533750001</v>
      </c>
      <c r="H66" s="235">
        <f t="shared" si="16"/>
        <v>116.05738760437502</v>
      </c>
    </row>
    <row r="67" spans="2:9" x14ac:dyDescent="0.35">
      <c r="B67" s="18" t="s">
        <v>603</v>
      </c>
      <c r="C67" s="235">
        <f>C51</f>
        <v>197.53399999999999</v>
      </c>
      <c r="D67" s="235">
        <f>D60*D23</f>
        <v>207.41069999999999</v>
      </c>
      <c r="E67" s="235">
        <f t="shared" ref="E67:H67" si="17">E60*E23</f>
        <v>217.78123500000001</v>
      </c>
      <c r="F67" s="235">
        <f t="shared" si="17"/>
        <v>228.67029675000001</v>
      </c>
      <c r="G67" s="235">
        <f t="shared" si="17"/>
        <v>240.10381158750002</v>
      </c>
      <c r="H67" s="235">
        <f t="shared" si="17"/>
        <v>252.10900216687503</v>
      </c>
    </row>
    <row r="68" spans="2:9" x14ac:dyDescent="0.35">
      <c r="B68" s="18" t="s">
        <v>604</v>
      </c>
      <c r="C68" s="235">
        <f>C52</f>
        <v>68.299000000000007</v>
      </c>
      <c r="D68" s="235">
        <f>D61*D23</f>
        <v>71.713949999999997</v>
      </c>
      <c r="E68" s="235">
        <f t="shared" ref="E68:H68" si="18">E61*E23</f>
        <v>75.299647500000006</v>
      </c>
      <c r="F68" s="235">
        <f t="shared" si="18"/>
        <v>79.064629875000008</v>
      </c>
      <c r="G68" s="235">
        <f t="shared" si="18"/>
        <v>83.017861368750005</v>
      </c>
      <c r="H68" s="235">
        <f t="shared" si="18"/>
        <v>87.168754437187516</v>
      </c>
    </row>
    <row r="69" spans="2:9" x14ac:dyDescent="0.35">
      <c r="B69" s="110" t="s">
        <v>605</v>
      </c>
      <c r="C69" s="229">
        <f>C64+C65-C66-C67-C68</f>
        <v>278.92100000000005</v>
      </c>
      <c r="D69" s="229">
        <f>D64+D65-D66-D67-D68</f>
        <v>292.86705000000001</v>
      </c>
      <c r="E69" s="229">
        <f t="shared" ref="E69:H69" si="19">E64+E65-E66-E67-E68</f>
        <v>307.51040250000017</v>
      </c>
      <c r="F69" s="229">
        <f t="shared" si="19"/>
        <v>322.88592262500003</v>
      </c>
      <c r="G69" s="229">
        <f t="shared" si="19"/>
        <v>339.03021875625018</v>
      </c>
      <c r="H69" s="229">
        <f t="shared" si="19"/>
        <v>355.98172969406255</v>
      </c>
    </row>
    <row r="70" spans="2:9" x14ac:dyDescent="0.35">
      <c r="B70" s="110" t="s">
        <v>606</v>
      </c>
      <c r="D70" s="236">
        <f>D69-C69</f>
        <v>13.946049999999957</v>
      </c>
      <c r="E70" s="236">
        <f>E69-D69</f>
        <v>14.643352500000162</v>
      </c>
      <c r="F70" s="236">
        <f>F69-E69</f>
        <v>15.375520124999866</v>
      </c>
      <c r="G70" s="236">
        <f>G69-F69</f>
        <v>16.144296131250144</v>
      </c>
      <c r="H70" s="236">
        <f>H69-G69</f>
        <v>16.951510937812373</v>
      </c>
      <c r="I70" s="217" t="s">
        <v>607</v>
      </c>
    </row>
    <row r="71" spans="2:9" x14ac:dyDescent="0.35">
      <c r="B71" s="90" t="s">
        <v>608</v>
      </c>
      <c r="D71" s="59">
        <f>IF(D23-C23=0,0,D70/(D23-C23))</f>
        <v>0.10113198379979592</v>
      </c>
      <c r="E71" s="59">
        <f>IF(E23-D23=0,0,E70/(E23-D23))</f>
        <v>0.10113198379979725</v>
      </c>
      <c r="F71" s="59">
        <f>IF(F23-E23=0,0,F70/(F23-E23))</f>
        <v>0.10113198379979529</v>
      </c>
      <c r="G71" s="59">
        <f>IF(G23-F23=0,0,G70/(G23-F23))</f>
        <v>0.10113198379979714</v>
      </c>
      <c r="H71" s="59">
        <f>IF(H23-G23=0,0,H70/(H23-G23))</f>
        <v>0.10113198379979532</v>
      </c>
      <c r="I71" t="s">
        <v>609</v>
      </c>
    </row>
    <row r="72" spans="2:9" x14ac:dyDescent="0.35">
      <c r="B72" s="112" t="s">
        <v>610</v>
      </c>
      <c r="C72" s="237">
        <f>ROUND(C69-C53,6)</f>
        <v>0</v>
      </c>
      <c r="I72" t="s">
        <v>611</v>
      </c>
    </row>
  </sheetData>
  <mergeCells count="4">
    <mergeCell ref="B1:I1"/>
    <mergeCell ref="B2:I2"/>
    <mergeCell ref="B3:I3"/>
    <mergeCell ref="B44:I44"/>
  </mergeCells>
  <dataValidations count="1">
    <dataValidation type="list" allowBlank="1" showInputMessage="1" showErrorMessage="1" errorTitle="Scenario must be 1 or 2" error="Enter 1 for the Base case or 2 for the Downside case." sqref="C6" xr:uid="{9FF99E51-F02D-4DB7-BC4F-398E84A4A6A6}">
      <formula1>"1,2"</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18AC-59B3-4BB1-AE79-E6C52B36A77B}">
  <dimension ref="A1:H113"/>
  <sheetViews>
    <sheetView showGridLines="0" workbookViewId="0">
      <pane xSplit="2" ySplit="5" topLeftCell="AF93" activePane="bottomRight" state="frozen"/>
      <selection pane="topRight" activeCell="C1" sqref="C1"/>
      <selection pane="bottomLeft" activeCell="A6" sqref="A6"/>
      <selection pane="bottomRight" activeCell="H98" sqref="H98"/>
    </sheetView>
  </sheetViews>
  <sheetFormatPr defaultRowHeight="14.5" x14ac:dyDescent="0.35"/>
  <cols>
    <col min="1" max="1" width="3.26953125" customWidth="1"/>
    <col min="2" max="2" width="54.54296875" customWidth="1"/>
    <col min="3" max="7" width="14.90625" customWidth="1"/>
    <col min="8" max="8" width="60" customWidth="1"/>
  </cols>
  <sheetData>
    <row r="1" spans="1:8" ht="16.5" x14ac:dyDescent="0.35">
      <c r="A1" s="78"/>
      <c r="B1" s="81" t="s">
        <v>59</v>
      </c>
      <c r="C1" s="81"/>
      <c r="D1" s="81"/>
      <c r="E1" s="81"/>
      <c r="F1" s="81"/>
      <c r="G1" s="81"/>
      <c r="H1" s="81"/>
    </row>
    <row r="2" spans="1:8" x14ac:dyDescent="0.35">
      <c r="A2" s="78"/>
      <c r="B2" s="82" t="s">
        <v>341</v>
      </c>
      <c r="C2" s="82"/>
      <c r="D2" s="82"/>
      <c r="E2" s="82"/>
      <c r="F2" s="82"/>
      <c r="G2" s="82"/>
      <c r="H2" s="82"/>
    </row>
    <row r="3" spans="1:8" x14ac:dyDescent="0.35">
      <c r="A3" s="78"/>
      <c r="B3" s="83" t="s">
        <v>466</v>
      </c>
      <c r="C3" s="83"/>
      <c r="D3" s="83"/>
      <c r="E3" s="83"/>
      <c r="F3" s="83"/>
      <c r="G3" s="83"/>
      <c r="H3" s="83"/>
    </row>
    <row r="4" spans="1:8" x14ac:dyDescent="0.35">
      <c r="A4" s="78"/>
      <c r="B4" s="78"/>
      <c r="C4" s="78"/>
      <c r="D4" s="78"/>
      <c r="E4" s="78"/>
      <c r="F4" s="78"/>
      <c r="G4" s="78"/>
      <c r="H4" s="78"/>
    </row>
    <row r="5" spans="1:8" x14ac:dyDescent="0.35">
      <c r="A5" s="78"/>
      <c r="B5" s="96" t="s">
        <v>182</v>
      </c>
      <c r="C5" s="97" t="s">
        <v>4</v>
      </c>
      <c r="D5" s="96"/>
      <c r="E5" s="96"/>
      <c r="F5" s="96"/>
      <c r="G5" s="96"/>
      <c r="H5" s="98" t="s">
        <v>96</v>
      </c>
    </row>
    <row r="6" spans="1:8" x14ac:dyDescent="0.35">
      <c r="A6" s="78"/>
      <c r="B6" s="99" t="s">
        <v>183</v>
      </c>
      <c r="C6" s="100">
        <v>0.04</v>
      </c>
      <c r="D6" s="101"/>
      <c r="E6" s="101"/>
      <c r="F6" s="101"/>
      <c r="G6" s="101"/>
      <c r="H6" s="102" t="s">
        <v>359</v>
      </c>
    </row>
    <row r="7" spans="1:8" x14ac:dyDescent="0.35">
      <c r="A7" s="78"/>
      <c r="B7" s="53" t="s">
        <v>184</v>
      </c>
      <c r="C7" s="54">
        <v>4.4999999999999998E-2</v>
      </c>
      <c r="D7" s="78"/>
      <c r="E7" s="78"/>
      <c r="F7" s="78"/>
      <c r="G7" s="78"/>
      <c r="H7" s="52" t="s">
        <v>360</v>
      </c>
    </row>
    <row r="8" spans="1:8" x14ac:dyDescent="0.35">
      <c r="A8" s="78"/>
      <c r="B8" s="62" t="s">
        <v>185</v>
      </c>
      <c r="C8" s="84">
        <f>C6+C7</f>
        <v>8.4999999999999992E-2</v>
      </c>
      <c r="D8" s="78"/>
      <c r="E8" s="78"/>
      <c r="F8" s="78"/>
      <c r="G8" s="78"/>
      <c r="H8" s="52" t="s">
        <v>337</v>
      </c>
    </row>
    <row r="9" spans="1:8" x14ac:dyDescent="0.35">
      <c r="A9" s="78"/>
      <c r="B9" s="53" t="s">
        <v>186</v>
      </c>
      <c r="C9" s="86">
        <v>600</v>
      </c>
      <c r="D9" s="78"/>
      <c r="E9" s="78"/>
      <c r="F9" s="78"/>
      <c r="G9" s="78"/>
      <c r="H9" s="52" t="s">
        <v>187</v>
      </c>
    </row>
    <row r="10" spans="1:8" x14ac:dyDescent="0.35">
      <c r="A10" s="78"/>
      <c r="B10" s="53" t="s">
        <v>188</v>
      </c>
      <c r="C10" s="54">
        <v>5.0000000000000001E-3</v>
      </c>
      <c r="D10" s="78"/>
      <c r="E10" s="78"/>
      <c r="F10" s="78"/>
      <c r="G10" s="78"/>
      <c r="H10" s="52" t="s">
        <v>189</v>
      </c>
    </row>
    <row r="11" spans="1:8" x14ac:dyDescent="0.35">
      <c r="A11" s="78"/>
      <c r="B11" s="53" t="s">
        <v>190</v>
      </c>
      <c r="C11" s="54">
        <v>0.04</v>
      </c>
      <c r="D11" s="78"/>
      <c r="E11" s="78"/>
      <c r="F11" s="78"/>
      <c r="G11" s="78"/>
      <c r="H11" s="52" t="s">
        <v>191</v>
      </c>
    </row>
    <row r="12" spans="1:8" x14ac:dyDescent="0.35">
      <c r="A12" s="78"/>
      <c r="B12" s="53" t="s">
        <v>192</v>
      </c>
      <c r="C12" s="54">
        <v>0.01</v>
      </c>
      <c r="D12" s="78"/>
      <c r="E12" s="78"/>
      <c r="F12" s="78"/>
      <c r="G12" s="78"/>
      <c r="H12" s="52" t="s">
        <v>193</v>
      </c>
    </row>
    <row r="13" spans="1:8" x14ac:dyDescent="0.35">
      <c r="A13" s="78"/>
      <c r="B13" s="53" t="s">
        <v>460</v>
      </c>
      <c r="C13" s="54">
        <v>1</v>
      </c>
      <c r="D13" s="78"/>
      <c r="E13" s="78"/>
      <c r="F13" s="78"/>
      <c r="G13" s="78"/>
      <c r="H13" s="52" t="s">
        <v>461</v>
      </c>
    </row>
    <row r="14" spans="1:8" x14ac:dyDescent="0.35">
      <c r="A14" s="78"/>
      <c r="B14" s="53" t="s">
        <v>194</v>
      </c>
      <c r="C14" s="87">
        <f>'Transaction Data'!C26</f>
        <v>0.28499999999999998</v>
      </c>
      <c r="D14" s="78"/>
      <c r="E14" s="78"/>
      <c r="F14" s="78"/>
      <c r="G14" s="78"/>
      <c r="H14" s="52" t="s">
        <v>195</v>
      </c>
    </row>
    <row r="15" spans="1:8" x14ac:dyDescent="0.35">
      <c r="A15" s="78"/>
      <c r="B15" s="53" t="s">
        <v>196</v>
      </c>
      <c r="C15" s="88">
        <f>'Transaction Data'!C31</f>
        <v>18.29</v>
      </c>
      <c r="D15" s="78"/>
      <c r="E15" s="78"/>
      <c r="F15" s="78"/>
      <c r="G15" s="78"/>
      <c r="H15" s="52" t="s">
        <v>197</v>
      </c>
    </row>
    <row r="16" spans="1:8" x14ac:dyDescent="0.35">
      <c r="A16" s="78"/>
      <c r="B16" s="53" t="s">
        <v>198</v>
      </c>
      <c r="C16" s="88">
        <f>'2 · Sources &amp; Uses'!C20</f>
        <v>2457.9499999999998</v>
      </c>
      <c r="D16" s="78"/>
      <c r="E16" s="78"/>
      <c r="F16" s="78"/>
      <c r="G16" s="78"/>
      <c r="H16" s="52" t="s">
        <v>199</v>
      </c>
    </row>
    <row r="17" spans="1:8" x14ac:dyDescent="0.35">
      <c r="A17" s="78"/>
      <c r="B17" s="161" t="s">
        <v>332</v>
      </c>
      <c r="C17" s="162">
        <v>1</v>
      </c>
      <c r="D17" s="78"/>
      <c r="E17" s="78"/>
      <c r="F17" s="78"/>
      <c r="G17" s="78"/>
      <c r="H17" s="52" t="s">
        <v>333</v>
      </c>
    </row>
    <row r="18" spans="1:8" x14ac:dyDescent="0.35">
      <c r="A18" s="78"/>
      <c r="B18" s="96" t="s">
        <v>200</v>
      </c>
      <c r="C18" s="97" t="s">
        <v>145</v>
      </c>
      <c r="D18" s="97" t="s">
        <v>146</v>
      </c>
      <c r="E18" s="97" t="s">
        <v>147</v>
      </c>
      <c r="F18" s="97" t="s">
        <v>148</v>
      </c>
      <c r="G18" s="97" t="s">
        <v>149</v>
      </c>
      <c r="H18" s="98" t="s">
        <v>96</v>
      </c>
    </row>
    <row r="19" spans="1:8" x14ac:dyDescent="0.35">
      <c r="A19" s="78"/>
      <c r="B19" s="101" t="s">
        <v>201</v>
      </c>
      <c r="C19" s="103">
        <f>'3 · Operating Model'!D28*C$102</f>
        <v>16.121773873972604</v>
      </c>
      <c r="D19" s="103">
        <f>'3 · Operating Model'!E28*D$102</f>
        <v>395.28891675</v>
      </c>
      <c r="E19" s="103">
        <f>'3 · Operating Model'!F28*E$102</f>
        <v>424.63151710875007</v>
      </c>
      <c r="F19" s="103">
        <f>'3 · Operating Model'!G28*F$102</f>
        <v>455.92015521150006</v>
      </c>
      <c r="G19" s="103">
        <f>'3 · Operating Model'!H28*G$102</f>
        <v>489.27607833175318</v>
      </c>
      <c r="H19" s="102" t="s">
        <v>572</v>
      </c>
    </row>
    <row r="20" spans="1:8" x14ac:dyDescent="0.35">
      <c r="A20" s="78"/>
      <c r="B20" s="78" t="s">
        <v>334</v>
      </c>
      <c r="C20" s="85">
        <f ca="1">IF($C$17=1,$C$8*AVERAGE(C38,C41),$C$8*C38)*C$102</f>
        <v>9.1511227744510713</v>
      </c>
      <c r="D20" s="85">
        <f t="shared" ref="D20:G20" ca="1" si="0">IF($C$17=1,$C$8*AVERAGE(D38,D41),$C$8*D38)*D$102</f>
        <v>204.14138018708718</v>
      </c>
      <c r="E20" s="85">
        <f t="shared" ca="1" si="0"/>
        <v>196.52757757110601</v>
      </c>
      <c r="F20" s="85">
        <f t="shared" ca="1" si="0"/>
        <v>189.76534438611233</v>
      </c>
      <c r="G20" s="85">
        <f t="shared" ca="1" si="0"/>
        <v>185.11943866985683</v>
      </c>
      <c r="H20" s="64" t="s">
        <v>338</v>
      </c>
    </row>
    <row r="21" spans="1:8" x14ac:dyDescent="0.35">
      <c r="A21" s="78"/>
      <c r="B21" s="78" t="s">
        <v>335</v>
      </c>
      <c r="C21" s="85">
        <f ca="1">IF($C$17=1,$C$10*($C$9-AVERAGE(C44,C47)),$C$10*($C$9-C44))*C$102</f>
        <v>0.13150684931506851</v>
      </c>
      <c r="D21" s="85">
        <f t="shared" ref="D21:G21" ca="1" si="1">IF($C$17=1,$C$10*($C$9-AVERAGE(D44,D47)),$C$10*($C$9-D44))*D$102</f>
        <v>3</v>
      </c>
      <c r="E21" s="85">
        <f t="shared" ca="1" si="1"/>
        <v>3</v>
      </c>
      <c r="F21" s="85">
        <f t="shared" ca="1" si="1"/>
        <v>3</v>
      </c>
      <c r="G21" s="85">
        <f t="shared" ca="1" si="1"/>
        <v>3</v>
      </c>
      <c r="H21" s="64" t="s">
        <v>339</v>
      </c>
    </row>
    <row r="22" spans="1:8" x14ac:dyDescent="0.35">
      <c r="A22" s="78"/>
      <c r="B22" s="78" t="s">
        <v>336</v>
      </c>
      <c r="C22" s="85">
        <f ca="1">IF($C$17=1,($C$6+$C$11)*AVERAGE(C44,C47),($C$6+$C$11)*C44)*C$102</f>
        <v>0</v>
      </c>
      <c r="D22" s="85">
        <f t="shared" ref="D22:G22" ca="1" si="2">IF($C$17=1,($C$6+$C$11)*AVERAGE(D44,D47),($C$6+$C$11)*D44)*D$102</f>
        <v>0</v>
      </c>
      <c r="E22" s="85">
        <f t="shared" ca="1" si="2"/>
        <v>0</v>
      </c>
      <c r="F22" s="85">
        <f t="shared" ca="1" si="2"/>
        <v>0</v>
      </c>
      <c r="G22" s="85">
        <f t="shared" ca="1" si="2"/>
        <v>0</v>
      </c>
      <c r="H22" s="64" t="s">
        <v>340</v>
      </c>
    </row>
    <row r="23" spans="1:8" x14ac:dyDescent="0.35">
      <c r="A23" s="78"/>
      <c r="B23" s="79" t="s">
        <v>202</v>
      </c>
      <c r="C23" s="89">
        <f ca="1">SUM(C20:C22)</f>
        <v>9.2826296237661392</v>
      </c>
      <c r="D23" s="89">
        <f t="shared" ref="D23:G23" ca="1" si="3">SUM(D20:D22)</f>
        <v>207.14138018708718</v>
      </c>
      <c r="E23" s="89">
        <f t="shared" ca="1" si="3"/>
        <v>199.52757757110601</v>
      </c>
      <c r="F23" s="89">
        <f t="shared" ca="1" si="3"/>
        <v>192.76534438611233</v>
      </c>
      <c r="G23" s="89">
        <f t="shared" ca="1" si="3"/>
        <v>188.11943866985683</v>
      </c>
      <c r="H23" s="52" t="s">
        <v>203</v>
      </c>
    </row>
    <row r="24" spans="1:8" x14ac:dyDescent="0.35">
      <c r="A24" s="78"/>
      <c r="B24" s="79" t="s">
        <v>570</v>
      </c>
      <c r="C24" s="89">
        <f ca="1">C19-C23+C112</f>
        <v>6.869371069451347</v>
      </c>
      <c r="D24" s="89">
        <f ca="1">D19-D23+D112</f>
        <v>190.28986892806063</v>
      </c>
      <c r="E24" s="89">
        <f ca="1">E19-E23+E112</f>
        <v>231.2639425130391</v>
      </c>
      <c r="F24" s="89">
        <f ca="1">F19-F23+F112</f>
        <v>275.08731317636318</v>
      </c>
      <c r="G24" s="89">
        <f ca="1">G19-G23+G112</f>
        <v>321.22011439908044</v>
      </c>
      <c r="H24" s="64" t="s">
        <v>573</v>
      </c>
    </row>
    <row r="25" spans="1:8" x14ac:dyDescent="0.35">
      <c r="A25" s="78"/>
      <c r="B25" s="78" t="s">
        <v>376</v>
      </c>
      <c r="C25" s="85">
        <f ca="1">$C$14*MAX(C79,0)</f>
        <v>3.2162938878575336</v>
      </c>
      <c r="D25" s="85">
        <f t="shared" ref="D25:G25" ca="1" si="4">$C$14*MAX(D79,0)</f>
        <v>78.860138891624999</v>
      </c>
      <c r="E25" s="85">
        <f t="shared" ca="1" si="4"/>
        <v>84.713987663195653</v>
      </c>
      <c r="F25" s="85">
        <f t="shared" ca="1" si="4"/>
        <v>90.956070964694263</v>
      </c>
      <c r="G25" s="85">
        <f t="shared" ca="1" si="4"/>
        <v>97.610577627184739</v>
      </c>
      <c r="H25" s="64" t="s">
        <v>377</v>
      </c>
    </row>
    <row r="26" spans="1:8" x14ac:dyDescent="0.35">
      <c r="A26" s="78"/>
      <c r="B26" s="79" t="s">
        <v>204</v>
      </c>
      <c r="C26" s="89">
        <f ca="1">C24-C25</f>
        <v>3.6530771815938134</v>
      </c>
      <c r="D26" s="89">
        <f t="shared" ref="D26:G26" ca="1" si="5">D24-D25</f>
        <v>111.42973003643563</v>
      </c>
      <c r="E26" s="89">
        <f t="shared" ca="1" si="5"/>
        <v>146.54995484984346</v>
      </c>
      <c r="F26" s="89">
        <f t="shared" ca="1" si="5"/>
        <v>184.1312422116689</v>
      </c>
      <c r="G26" s="89">
        <f t="shared" ca="1" si="5"/>
        <v>223.6095367718957</v>
      </c>
      <c r="H26" s="64" t="s">
        <v>205</v>
      </c>
    </row>
    <row r="27" spans="1:8" x14ac:dyDescent="0.35">
      <c r="A27" s="78"/>
      <c r="B27" s="78" t="s">
        <v>206</v>
      </c>
      <c r="C27" s="88">
        <f>'3 · Operating Model'!D27*C$102</f>
        <v>4.4430085479452055</v>
      </c>
      <c r="D27" s="88">
        <f>'3 · Operating Model'!E27*D$102</f>
        <v>106.423939125</v>
      </c>
      <c r="E27" s="88">
        <f>'3 · Operating Model'!F27*E$102</f>
        <v>111.74513608125001</v>
      </c>
      <c r="F27" s="88">
        <f>'3 · Operating Model'!G27*F$102</f>
        <v>117.33239288531252</v>
      </c>
      <c r="G27" s="88">
        <f>'3 · Operating Model'!H27*G$102</f>
        <v>123.19901252957814</v>
      </c>
      <c r="H27" s="52" t="s">
        <v>326</v>
      </c>
    </row>
    <row r="28" spans="1:8" x14ac:dyDescent="0.35">
      <c r="A28" s="78"/>
      <c r="B28" s="78" t="s">
        <v>170</v>
      </c>
      <c r="C28" s="88">
        <f>'3 · Operating Model'!D30*C$102</f>
        <v>0.76165860821917797</v>
      </c>
      <c r="D28" s="88">
        <f>'3 · Operating Model'!E30*D$102</f>
        <v>18.244103849999998</v>
      </c>
      <c r="E28" s="88">
        <f>'3 · Operating Model'!F30*E$102</f>
        <v>19.156309042500002</v>
      </c>
      <c r="F28" s="88">
        <f>'3 · Operating Model'!G30*F$102</f>
        <v>20.114124494624999</v>
      </c>
      <c r="G28" s="88">
        <f>'3 · Operating Model'!H30*G$102</f>
        <v>21.119830719356251</v>
      </c>
      <c r="H28" s="52" t="s">
        <v>327</v>
      </c>
    </row>
    <row r="29" spans="1:8" x14ac:dyDescent="0.35">
      <c r="A29" s="78"/>
      <c r="B29" s="78" t="s">
        <v>172</v>
      </c>
      <c r="C29" s="88">
        <f>'3 · Operating Model'!D31*C$102</f>
        <v>0.61133369863013509</v>
      </c>
      <c r="D29" s="88">
        <f>'3 · Operating Model'!E31*D$102</f>
        <v>14.643352500000162</v>
      </c>
      <c r="E29" s="88">
        <f>'3 · Operating Model'!F31*E$102</f>
        <v>15.375520124999866</v>
      </c>
      <c r="F29" s="88">
        <f>'3 · Operating Model'!G31*F$102</f>
        <v>16.144296131250144</v>
      </c>
      <c r="G29" s="88">
        <f>'3 · Operating Model'!H31*G$102</f>
        <v>16.951510937812373</v>
      </c>
      <c r="H29" s="52" t="s">
        <v>615</v>
      </c>
    </row>
    <row r="30" spans="1:8" x14ac:dyDescent="0.35">
      <c r="A30" s="78"/>
      <c r="B30" s="94" t="s">
        <v>207</v>
      </c>
      <c r="C30" s="95">
        <f ca="1">C26+C27-C28-C29</f>
        <v>6.7230934226897068</v>
      </c>
      <c r="D30" s="95">
        <f t="shared" ref="D30:G30" ca="1" si="6">D26+D27-D28-D29</f>
        <v>184.96621281143547</v>
      </c>
      <c r="E30" s="95">
        <f t="shared" ca="1" si="6"/>
        <v>223.76326176359359</v>
      </c>
      <c r="F30" s="95">
        <f t="shared" ca="1" si="6"/>
        <v>265.20521447110627</v>
      </c>
      <c r="G30" s="95">
        <f t="shared" ca="1" si="6"/>
        <v>308.73720764430522</v>
      </c>
      <c r="H30" s="67" t="s">
        <v>208</v>
      </c>
    </row>
    <row r="31" spans="1:8" x14ac:dyDescent="0.35">
      <c r="A31" s="78"/>
      <c r="B31" s="78" t="s">
        <v>209</v>
      </c>
      <c r="C31" s="85">
        <f>MIN($C$12*$C$16*C$102,C38)</f>
        <v>1.0774575342465753</v>
      </c>
      <c r="D31" s="85">
        <f t="shared" ref="D31:G31" ca="1" si="7">MIN($C$12*$C$16*D$102,D38)</f>
        <v>24.579499999999999</v>
      </c>
      <c r="E31" s="85">
        <f t="shared" ca="1" si="7"/>
        <v>24.579499999999999</v>
      </c>
      <c r="F31" s="85">
        <f t="shared" ca="1" si="7"/>
        <v>24.579499999999999</v>
      </c>
      <c r="G31" s="85">
        <f t="shared" ca="1" si="7"/>
        <v>24.579499999999999</v>
      </c>
      <c r="H31" s="64" t="s">
        <v>574</v>
      </c>
    </row>
    <row r="32" spans="1:8" x14ac:dyDescent="0.35">
      <c r="A32" s="78"/>
      <c r="B32" s="79" t="s">
        <v>210</v>
      </c>
      <c r="C32" s="89">
        <f ca="1">C30-C31</f>
        <v>5.645635888443131</v>
      </c>
      <c r="D32" s="89">
        <f t="shared" ref="D32:G32" ca="1" si="8">D30-D31</f>
        <v>160.38671281143547</v>
      </c>
      <c r="E32" s="89">
        <f t="shared" ca="1" si="8"/>
        <v>199.18376176359359</v>
      </c>
      <c r="F32" s="89">
        <f t="shared" ca="1" si="8"/>
        <v>240.62571447110628</v>
      </c>
      <c r="G32" s="89">
        <f t="shared" ca="1" si="8"/>
        <v>284.15770764430522</v>
      </c>
      <c r="H32" s="64" t="s">
        <v>211</v>
      </c>
    </row>
    <row r="33" spans="1:8" x14ac:dyDescent="0.35">
      <c r="A33" s="78"/>
      <c r="B33" s="78" t="s">
        <v>462</v>
      </c>
      <c r="C33" s="85">
        <f ca="1">MIN(C93*MAX(C32,0),C38-C31)</f>
        <v>2.8228179442215655</v>
      </c>
      <c r="D33" s="85">
        <f t="shared" ref="D33:G33" ca="1" si="9">MIN(D93*MAX(D32,0),D38-D31)</f>
        <v>80.193356405717736</v>
      </c>
      <c r="E33" s="85">
        <f t="shared" ca="1" si="9"/>
        <v>49.795940440898399</v>
      </c>
      <c r="F33" s="85">
        <f t="shared" ca="1" si="9"/>
        <v>60.156428617776569</v>
      </c>
      <c r="G33" s="85">
        <f t="shared" ca="1" si="9"/>
        <v>0</v>
      </c>
      <c r="H33" s="64" t="s">
        <v>463</v>
      </c>
    </row>
    <row r="34" spans="1:8" x14ac:dyDescent="0.35">
      <c r="A34" s="78"/>
      <c r="B34" s="94" t="s">
        <v>212</v>
      </c>
      <c r="C34" s="95">
        <f ca="1">C32-C33</f>
        <v>2.8228179442215655</v>
      </c>
      <c r="D34" s="95">
        <f t="shared" ref="D34:G34" ca="1" si="10">D32-D33</f>
        <v>80.193356405717736</v>
      </c>
      <c r="E34" s="95">
        <f t="shared" ca="1" si="10"/>
        <v>149.3878213226952</v>
      </c>
      <c r="F34" s="95">
        <f t="shared" ca="1" si="10"/>
        <v>180.46928585332972</v>
      </c>
      <c r="G34" s="95">
        <f t="shared" ca="1" si="10"/>
        <v>284.15770764430522</v>
      </c>
      <c r="H34" s="67" t="s">
        <v>464</v>
      </c>
    </row>
    <row r="35" spans="1:8" x14ac:dyDescent="0.35">
      <c r="A35" s="78"/>
      <c r="B35" s="90" t="s">
        <v>571</v>
      </c>
      <c r="C35" s="91">
        <f ca="1">'3 · Operating Model'!D32*C$102-C23+C112-C25-C30</f>
        <v>0</v>
      </c>
      <c r="D35" s="91">
        <f ca="1">'3 · Operating Model'!E32*D$102-D23+D112-D25-D30</f>
        <v>0</v>
      </c>
      <c r="E35" s="91">
        <f ca="1">'3 · Operating Model'!F32*E$102-E23+E112-E25-E30</f>
        <v>0</v>
      </c>
      <c r="F35" s="91">
        <f ca="1">'3 · Operating Model'!G32*F$102-F23+F112-F25-F30</f>
        <v>0</v>
      </c>
      <c r="G35" s="91">
        <f ca="1">'3 · Operating Model'!H32*G$102-G23+G112-G25-G30</f>
        <v>0</v>
      </c>
      <c r="H35" s="52" t="s">
        <v>575</v>
      </c>
    </row>
    <row r="36" spans="1:8" x14ac:dyDescent="0.35">
      <c r="A36" s="78"/>
      <c r="B36" s="78"/>
      <c r="C36" s="78"/>
      <c r="D36" s="78"/>
      <c r="E36" s="78"/>
      <c r="F36" s="78"/>
      <c r="G36" s="78"/>
      <c r="H36" s="78"/>
    </row>
    <row r="37" spans="1:8" x14ac:dyDescent="0.35">
      <c r="A37" s="78"/>
      <c r="B37" s="96" t="s">
        <v>213</v>
      </c>
      <c r="C37" s="97" t="s">
        <v>145</v>
      </c>
      <c r="D37" s="97" t="s">
        <v>146</v>
      </c>
      <c r="E37" s="97" t="s">
        <v>147</v>
      </c>
      <c r="F37" s="97" t="s">
        <v>148</v>
      </c>
      <c r="G37" s="97" t="s">
        <v>149</v>
      </c>
      <c r="H37" s="98" t="s">
        <v>96</v>
      </c>
    </row>
    <row r="38" spans="1:8" x14ac:dyDescent="0.35">
      <c r="A38" s="78"/>
      <c r="B38" s="101" t="s">
        <v>214</v>
      </c>
      <c r="C38" s="103">
        <f>$C$16</f>
        <v>2457.9499999999998</v>
      </c>
      <c r="D38" s="104">
        <f ca="1">C41</f>
        <v>2454.0497245215315</v>
      </c>
      <c r="E38" s="104">
        <f ca="1">D41</f>
        <v>2349.2768681158141</v>
      </c>
      <c r="F38" s="104">
        <f ca="1">E41</f>
        <v>2274.9014276749158</v>
      </c>
      <c r="G38" s="104">
        <f ca="1">F41</f>
        <v>2190.1654990571392</v>
      </c>
      <c r="H38" s="102" t="s">
        <v>215</v>
      </c>
    </row>
    <row r="39" spans="1:8" x14ac:dyDescent="0.35">
      <c r="A39" s="78"/>
      <c r="B39" s="78" t="s">
        <v>216</v>
      </c>
      <c r="C39" s="85">
        <f>C31</f>
        <v>1.0774575342465753</v>
      </c>
      <c r="D39" s="85">
        <f t="shared" ref="D39:G39" ca="1" si="11">D31</f>
        <v>24.579499999999999</v>
      </c>
      <c r="E39" s="85">
        <f t="shared" ca="1" si="11"/>
        <v>24.579499999999999</v>
      </c>
      <c r="F39" s="85">
        <f t="shared" ca="1" si="11"/>
        <v>24.579499999999999</v>
      </c>
      <c r="G39" s="85">
        <f t="shared" ca="1" si="11"/>
        <v>24.579499999999999</v>
      </c>
      <c r="H39" s="64" t="s">
        <v>217</v>
      </c>
    </row>
    <row r="40" spans="1:8" x14ac:dyDescent="0.35">
      <c r="A40" s="78"/>
      <c r="B40" s="78" t="s">
        <v>218</v>
      </c>
      <c r="C40" s="85">
        <f ca="1">C33</f>
        <v>2.8228179442215655</v>
      </c>
      <c r="D40" s="85">
        <f t="shared" ref="D40:G40" ca="1" si="12">D33</f>
        <v>80.193356405717736</v>
      </c>
      <c r="E40" s="85">
        <f t="shared" ca="1" si="12"/>
        <v>49.795940440898399</v>
      </c>
      <c r="F40" s="85">
        <f t="shared" ca="1" si="12"/>
        <v>60.156428617776569</v>
      </c>
      <c r="G40" s="85">
        <f t="shared" ca="1" si="12"/>
        <v>0</v>
      </c>
      <c r="H40" s="64" t="s">
        <v>219</v>
      </c>
    </row>
    <row r="41" spans="1:8" x14ac:dyDescent="0.35">
      <c r="A41" s="78"/>
      <c r="B41" s="94" t="s">
        <v>220</v>
      </c>
      <c r="C41" s="95">
        <f ca="1">C38-C39-C40</f>
        <v>2454.0497245215315</v>
      </c>
      <c r="D41" s="95">
        <f t="shared" ref="D41:G41" ca="1" si="13">D38-D39-D40</f>
        <v>2349.2768681158141</v>
      </c>
      <c r="E41" s="95">
        <f t="shared" ca="1" si="13"/>
        <v>2274.9014276749158</v>
      </c>
      <c r="F41" s="95">
        <f t="shared" ca="1" si="13"/>
        <v>2190.1654990571392</v>
      </c>
      <c r="G41" s="95">
        <f t="shared" ca="1" si="13"/>
        <v>2165.5859990571394</v>
      </c>
      <c r="H41" s="67" t="s">
        <v>221</v>
      </c>
    </row>
    <row r="42" spans="1:8" x14ac:dyDescent="0.35">
      <c r="A42" s="78"/>
      <c r="B42" s="78"/>
      <c r="C42" s="78"/>
      <c r="D42" s="78"/>
      <c r="E42" s="78"/>
      <c r="F42" s="78"/>
      <c r="G42" s="78"/>
      <c r="H42" s="78"/>
    </row>
    <row r="43" spans="1:8" x14ac:dyDescent="0.35">
      <c r="A43" s="78"/>
      <c r="B43" s="96" t="s">
        <v>222</v>
      </c>
      <c r="C43" s="97" t="s">
        <v>145</v>
      </c>
      <c r="D43" s="97" t="s">
        <v>146</v>
      </c>
      <c r="E43" s="97" t="s">
        <v>147</v>
      </c>
      <c r="F43" s="97" t="s">
        <v>148</v>
      </c>
      <c r="G43" s="97" t="s">
        <v>149</v>
      </c>
      <c r="H43" s="98" t="s">
        <v>96</v>
      </c>
    </row>
    <row r="44" spans="1:8" x14ac:dyDescent="0.35">
      <c r="A44" s="78"/>
      <c r="B44" s="101" t="s">
        <v>223</v>
      </c>
      <c r="C44" s="103">
        <f>'2 · Sources &amp; Uses'!C21</f>
        <v>0</v>
      </c>
      <c r="D44" s="104">
        <f ca="1">C47</f>
        <v>0</v>
      </c>
      <c r="E44" s="104">
        <f ca="1">D47</f>
        <v>0</v>
      </c>
      <c r="F44" s="104">
        <f ca="1">E47</f>
        <v>0</v>
      </c>
      <c r="G44" s="104">
        <f ca="1">F47</f>
        <v>0</v>
      </c>
      <c r="H44" s="102" t="s">
        <v>224</v>
      </c>
    </row>
    <row r="45" spans="1:8" x14ac:dyDescent="0.35">
      <c r="A45" s="78"/>
      <c r="B45" s="78" t="s">
        <v>225</v>
      </c>
      <c r="C45" s="85">
        <f ca="1">MIN(MAX(-(C50+C34),0),$C$9-C44)</f>
        <v>0</v>
      </c>
      <c r="D45" s="85">
        <f t="shared" ref="D45:G45" ca="1" si="14">MIN(MAX(-(D50+D34),0),$C$9-D44)</f>
        <v>0</v>
      </c>
      <c r="E45" s="85">
        <f t="shared" ca="1" si="14"/>
        <v>0</v>
      </c>
      <c r="F45" s="85">
        <f t="shared" ca="1" si="14"/>
        <v>0</v>
      </c>
      <c r="G45" s="85">
        <f t="shared" ca="1" si="14"/>
        <v>0</v>
      </c>
      <c r="H45" s="64" t="s">
        <v>226</v>
      </c>
    </row>
    <row r="46" spans="1:8" x14ac:dyDescent="0.35">
      <c r="A46" s="78"/>
      <c r="B46" s="78" t="s">
        <v>227</v>
      </c>
      <c r="C46" s="85">
        <f ca="1">MIN(C44,MAX(C50+C34,0))</f>
        <v>0</v>
      </c>
      <c r="D46" s="85">
        <f t="shared" ref="D46:G46" ca="1" si="15">MIN(D44,MAX(D50+D34,0))</f>
        <v>0</v>
      </c>
      <c r="E46" s="85">
        <f t="shared" ca="1" si="15"/>
        <v>0</v>
      </c>
      <c r="F46" s="85">
        <f t="shared" ca="1" si="15"/>
        <v>0</v>
      </c>
      <c r="G46" s="85">
        <f t="shared" ca="1" si="15"/>
        <v>0</v>
      </c>
      <c r="H46" s="64" t="s">
        <v>228</v>
      </c>
    </row>
    <row r="47" spans="1:8" x14ac:dyDescent="0.35">
      <c r="A47" s="78"/>
      <c r="B47" s="94" t="s">
        <v>229</v>
      </c>
      <c r="C47" s="95">
        <f ca="1">C44+C45-C46</f>
        <v>0</v>
      </c>
      <c r="D47" s="95">
        <f t="shared" ref="D47:G47" ca="1" si="16">D44+D45-D46</f>
        <v>0</v>
      </c>
      <c r="E47" s="95">
        <f t="shared" ca="1" si="16"/>
        <v>0</v>
      </c>
      <c r="F47" s="95">
        <f t="shared" ca="1" si="16"/>
        <v>0</v>
      </c>
      <c r="G47" s="95">
        <f t="shared" ca="1" si="16"/>
        <v>0</v>
      </c>
      <c r="H47" s="67" t="s">
        <v>230</v>
      </c>
    </row>
    <row r="48" spans="1:8" x14ac:dyDescent="0.35">
      <c r="A48" s="78"/>
      <c r="B48" s="78"/>
      <c r="C48" s="78"/>
      <c r="D48" s="78"/>
      <c r="E48" s="78"/>
      <c r="F48" s="78"/>
      <c r="G48" s="78"/>
      <c r="H48" s="78"/>
    </row>
    <row r="49" spans="1:8" x14ac:dyDescent="0.35">
      <c r="A49" s="78"/>
      <c r="B49" s="96" t="s">
        <v>231</v>
      </c>
      <c r="C49" s="97" t="s">
        <v>145</v>
      </c>
      <c r="D49" s="97" t="s">
        <v>146</v>
      </c>
      <c r="E49" s="97" t="s">
        <v>147</v>
      </c>
      <c r="F49" s="97" t="s">
        <v>148</v>
      </c>
      <c r="G49" s="97" t="s">
        <v>149</v>
      </c>
      <c r="H49" s="98" t="s">
        <v>96</v>
      </c>
    </row>
    <row r="50" spans="1:8" x14ac:dyDescent="0.35">
      <c r="A50" s="78"/>
      <c r="B50" s="101" t="s">
        <v>232</v>
      </c>
      <c r="C50" s="103">
        <f>$C$15</f>
        <v>18.29</v>
      </c>
      <c r="D50" s="104">
        <f ca="1">C52</f>
        <v>21.112817944221565</v>
      </c>
      <c r="E50" s="104">
        <f ca="1">D52</f>
        <v>101.3061743499393</v>
      </c>
      <c r="F50" s="104">
        <f ca="1">E52</f>
        <v>250.69399567263451</v>
      </c>
      <c r="G50" s="104">
        <f ca="1">F52</f>
        <v>431.16328152596424</v>
      </c>
      <c r="H50" s="102" t="s">
        <v>233</v>
      </c>
    </row>
    <row r="51" spans="1:8" x14ac:dyDescent="0.35">
      <c r="A51" s="78"/>
      <c r="B51" s="78" t="s">
        <v>234</v>
      </c>
      <c r="C51" s="85">
        <f ca="1">C34+C45-C46</f>
        <v>2.8228179442215655</v>
      </c>
      <c r="D51" s="85">
        <f t="shared" ref="D51:G51" ca="1" si="17">D34+D45-D46</f>
        <v>80.193356405717736</v>
      </c>
      <c r="E51" s="85">
        <f t="shared" ca="1" si="17"/>
        <v>149.3878213226952</v>
      </c>
      <c r="F51" s="85">
        <f t="shared" ca="1" si="17"/>
        <v>180.46928585332972</v>
      </c>
      <c r="G51" s="85">
        <f t="shared" ca="1" si="17"/>
        <v>284.15770764430522</v>
      </c>
      <c r="H51" s="64" t="s">
        <v>235</v>
      </c>
    </row>
    <row r="52" spans="1:8" x14ac:dyDescent="0.35">
      <c r="A52" s="78"/>
      <c r="B52" s="94" t="s">
        <v>236</v>
      </c>
      <c r="C52" s="95">
        <f ca="1">C50+C51</f>
        <v>21.112817944221565</v>
      </c>
      <c r="D52" s="95">
        <f t="shared" ref="D52:G52" ca="1" si="18">D50+D51</f>
        <v>101.3061743499393</v>
      </c>
      <c r="E52" s="95">
        <f t="shared" ca="1" si="18"/>
        <v>250.69399567263451</v>
      </c>
      <c r="F52" s="95">
        <f t="shared" ca="1" si="18"/>
        <v>431.16328152596424</v>
      </c>
      <c r="G52" s="95">
        <f t="shared" ca="1" si="18"/>
        <v>715.32098917026951</v>
      </c>
      <c r="H52" s="67" t="s">
        <v>616</v>
      </c>
    </row>
    <row r="53" spans="1:8" x14ac:dyDescent="0.35">
      <c r="A53" s="78"/>
      <c r="B53" s="78"/>
      <c r="C53" s="78"/>
      <c r="D53" s="78"/>
      <c r="E53" s="78"/>
      <c r="F53" s="78"/>
      <c r="G53" s="78"/>
      <c r="H53" s="78"/>
    </row>
    <row r="54" spans="1:8" x14ac:dyDescent="0.35">
      <c r="A54" s="78"/>
      <c r="B54" s="96" t="s">
        <v>237</v>
      </c>
      <c r="C54" s="97" t="s">
        <v>145</v>
      </c>
      <c r="D54" s="97" t="s">
        <v>146</v>
      </c>
      <c r="E54" s="97" t="s">
        <v>147</v>
      </c>
      <c r="F54" s="97" t="s">
        <v>148</v>
      </c>
      <c r="G54" s="97" t="s">
        <v>149</v>
      </c>
      <c r="H54" s="98" t="s">
        <v>96</v>
      </c>
    </row>
    <row r="55" spans="1:8" x14ac:dyDescent="0.35">
      <c r="A55" s="78"/>
      <c r="B55" s="101" t="s">
        <v>238</v>
      </c>
      <c r="C55" s="104">
        <f ca="1">C41+C47</f>
        <v>2454.0497245215315</v>
      </c>
      <c r="D55" s="104">
        <f t="shared" ref="D55:G55" ca="1" si="19">D41+D47</f>
        <v>2349.2768681158141</v>
      </c>
      <c r="E55" s="104">
        <f t="shared" ca="1" si="19"/>
        <v>2274.9014276749158</v>
      </c>
      <c r="F55" s="104">
        <f t="shared" ca="1" si="19"/>
        <v>2190.1654990571392</v>
      </c>
      <c r="G55" s="104">
        <f t="shared" ca="1" si="19"/>
        <v>2165.5859990571394</v>
      </c>
      <c r="H55" s="105" t="s">
        <v>239</v>
      </c>
    </row>
    <row r="56" spans="1:8" x14ac:dyDescent="0.35">
      <c r="A56" s="78"/>
      <c r="B56" s="78" t="s">
        <v>240</v>
      </c>
      <c r="C56" s="85">
        <f ca="1">C52</f>
        <v>21.112817944221565</v>
      </c>
      <c r="D56" s="85">
        <f t="shared" ref="D56:G56" ca="1" si="20">D52</f>
        <v>101.3061743499393</v>
      </c>
      <c r="E56" s="85">
        <f t="shared" ca="1" si="20"/>
        <v>250.69399567263451</v>
      </c>
      <c r="F56" s="85">
        <f t="shared" ca="1" si="20"/>
        <v>431.16328152596424</v>
      </c>
      <c r="G56" s="85">
        <f t="shared" ca="1" si="20"/>
        <v>715.32098917026951</v>
      </c>
      <c r="H56" s="64" t="s">
        <v>241</v>
      </c>
    </row>
    <row r="57" spans="1:8" x14ac:dyDescent="0.35">
      <c r="A57" s="78"/>
      <c r="B57" s="94" t="s">
        <v>242</v>
      </c>
      <c r="C57" s="95">
        <f ca="1">C55-C56</f>
        <v>2432.9369065773099</v>
      </c>
      <c r="D57" s="95">
        <f t="shared" ref="D57:G57" ca="1" si="21">D55-D56</f>
        <v>2247.9706937658748</v>
      </c>
      <c r="E57" s="95">
        <f t="shared" ca="1" si="21"/>
        <v>2024.2074320022812</v>
      </c>
      <c r="F57" s="95">
        <f t="shared" ca="1" si="21"/>
        <v>1759.0022175311749</v>
      </c>
      <c r="G57" s="95">
        <f t="shared" ca="1" si="21"/>
        <v>1450.2650098868698</v>
      </c>
      <c r="H57" s="67" t="s">
        <v>243</v>
      </c>
    </row>
    <row r="58" spans="1:8" x14ac:dyDescent="0.35">
      <c r="A58" s="78"/>
      <c r="B58" s="90" t="s">
        <v>244</v>
      </c>
      <c r="C58" s="88">
        <f>'3 · Operating Model'!D25</f>
        <v>469.13409899999999</v>
      </c>
      <c r="D58" s="88">
        <f>'3 · Operating Model'!E25</f>
        <v>501.712855875</v>
      </c>
      <c r="E58" s="88">
        <f>'3 · Operating Model'!F25</f>
        <v>536.37665319000007</v>
      </c>
      <c r="F58" s="88">
        <f>'3 · Operating Model'!G25</f>
        <v>573.25254809681257</v>
      </c>
      <c r="G58" s="88">
        <f>'3 · Operating Model'!H25</f>
        <v>612.4750908613313</v>
      </c>
      <c r="H58" s="52" t="s">
        <v>328</v>
      </c>
    </row>
    <row r="59" spans="1:8" x14ac:dyDescent="0.35">
      <c r="A59" s="78"/>
      <c r="B59" s="80" t="s">
        <v>245</v>
      </c>
      <c r="C59" s="93">
        <f ca="1">C57/C58</f>
        <v>5.1860159211690773</v>
      </c>
      <c r="D59" s="93">
        <f t="shared" ref="D59:G59" ca="1" si="22">D57/D58</f>
        <v>4.4805921702870393</v>
      </c>
      <c r="E59" s="93">
        <f t="shared" ca="1" si="22"/>
        <v>3.7738544732767267</v>
      </c>
      <c r="F59" s="93">
        <f t="shared" ca="1" si="22"/>
        <v>3.0684594832958498</v>
      </c>
      <c r="G59" s="93">
        <f t="shared" ca="1" si="22"/>
        <v>2.3678759047120499</v>
      </c>
      <c r="H59" s="52" t="s">
        <v>465</v>
      </c>
    </row>
    <row r="60" spans="1:8" x14ac:dyDescent="0.35">
      <c r="A60" s="78"/>
      <c r="B60" s="78" t="s">
        <v>246</v>
      </c>
      <c r="C60" s="92">
        <f ca="1">C58/(C23/C$102)</f>
        <v>2.2154048212013318</v>
      </c>
      <c r="D60" s="92">
        <f ca="1">D58/(D23/D$102)</f>
        <v>2.4220793325884959</v>
      </c>
      <c r="E60" s="92">
        <f ca="1">E58/(E23/E$102)</f>
        <v>2.6882331741778929</v>
      </c>
      <c r="F60" s="92">
        <f ca="1">F58/(F23/F$102)</f>
        <v>2.9738361421883894</v>
      </c>
      <c r="G60" s="92">
        <f ca="1">G58/(G23/G$102)</f>
        <v>3.2557777930445777</v>
      </c>
      <c r="H60" s="64" t="s">
        <v>560</v>
      </c>
    </row>
    <row r="61" spans="1:8" x14ac:dyDescent="0.35">
      <c r="A61" s="78"/>
      <c r="B61" s="78" t="s">
        <v>247</v>
      </c>
      <c r="C61" s="85">
        <f ca="1">$C$16-C41</f>
        <v>3.900275478468302</v>
      </c>
      <c r="D61" s="85">
        <f t="shared" ref="D61:G61" ca="1" si="23">$C$16-D41</f>
        <v>108.67313188418575</v>
      </c>
      <c r="E61" s="85">
        <f t="shared" ca="1" si="23"/>
        <v>183.04857232508402</v>
      </c>
      <c r="F61" s="85">
        <f t="shared" ca="1" si="23"/>
        <v>267.78450094286063</v>
      </c>
      <c r="G61" s="85">
        <f t="shared" ca="1" si="23"/>
        <v>292.36400094286046</v>
      </c>
      <c r="H61" s="64" t="s">
        <v>248</v>
      </c>
    </row>
    <row r="62" spans="1:8" x14ac:dyDescent="0.35">
      <c r="A62" s="78"/>
      <c r="B62" s="80" t="s">
        <v>249</v>
      </c>
      <c r="C62" s="89">
        <f ca="1">G57</f>
        <v>1450.2650098868698</v>
      </c>
      <c r="D62" s="78"/>
      <c r="E62" s="78"/>
      <c r="F62" s="78"/>
      <c r="G62" s="78"/>
      <c r="H62" s="64" t="s">
        <v>250</v>
      </c>
    </row>
    <row r="63" spans="1:8" x14ac:dyDescent="0.35">
      <c r="A63" s="78"/>
      <c r="B63" s="78" t="s">
        <v>251</v>
      </c>
      <c r="C63" s="92">
        <f ca="1">G59</f>
        <v>2.3678759047120499</v>
      </c>
      <c r="D63" s="78"/>
      <c r="E63" s="78"/>
      <c r="F63" s="78"/>
      <c r="G63" s="78"/>
      <c r="H63" s="64" t="s">
        <v>252</v>
      </c>
    </row>
    <row r="64" spans="1:8" x14ac:dyDescent="0.35">
      <c r="A64" s="78"/>
      <c r="B64" s="78" t="s">
        <v>253</v>
      </c>
      <c r="C64" s="85">
        <f ca="1">G61</f>
        <v>292.36400094286046</v>
      </c>
      <c r="D64" s="78"/>
      <c r="E64" s="78"/>
      <c r="F64" s="78"/>
      <c r="G64" s="78"/>
      <c r="H64" s="64" t="s">
        <v>254</v>
      </c>
    </row>
    <row r="65" spans="1:8" x14ac:dyDescent="0.35">
      <c r="A65" s="78"/>
      <c r="B65" s="78"/>
      <c r="C65" s="78"/>
      <c r="D65" s="78"/>
      <c r="E65" s="78"/>
      <c r="F65" s="78"/>
      <c r="G65" s="78"/>
      <c r="H65" s="78"/>
    </row>
    <row r="66" spans="1:8" ht="46" customHeight="1" x14ac:dyDescent="0.35">
      <c r="A66" s="78"/>
      <c r="B66" s="260" t="str">
        <f ca="1">_xlfn._LONGTEXT("Mechanic note — interest convention, circularity, cash sweep and the FY2026E stub period.  INTEREST CONVENTION. Cash interest is charged on the AVERAGE of the opening and closing debt balance (row 20 = all-in rate × AVERAGE(row 38, row 41)), the standard ","production convention, and is scaled by the period factor in row 102 so the stub year carries only the interest that accrues after close. This is deliberately circular: the closing balance depends on the cash sweep, the sweep depends on free cash flow, an","d free cash flow depends on this interest line. Section 10 adds a second intended loop — cash earns interest income, which feeds EBT, free cash flow and therefore cash. Excel resolves both by iteration: iterative calculation is enabled at 100 maximum iter","ations and a maximum change of 0.001, which converges to well inside $0.1M on every line.  The blue switch in C17 is the breaker: set it to 0 and rows 20-22 and row 112 revert to the OPENING-balance convention, cutting the dependency loop so each year sol","ves in a single pass. Use that if the model ever errors into a circular-reference cascade (zeros or #REF! propagating through rows 20-41, typically after a bad paste, a deleted row, or opening the file with iterative calculation off): flip to 0, let it re","solve, then flip back to 1 and press F9.  The revolver is undrawn throughout, so the only revolver cost is the commitment fee on the average undrawn capacity.  CASH SWEEP — LEVERAGE STEP-DOWN (section 8). The sweep is not a flat 100%. Each year is re-test","ed against that year OPENING net-leverage ratio (row 92 = opening net debt ÷ prior-year Adj. EBITDA): 50% above 4.50x, 25% from 3.50x to 4.50x, 0% below 3.50x. On the selected case the path is ")&amp;TEXT(C92,"0.00")&amp;"x → "&amp;TEXT(C93,"0%")&amp;", "&amp;TEXT(D92,"0.00")&amp;"x → "&amp;TEXT(D93,"0%")&amp;", "&amp;TEXT(E92,"0.00")&amp;"x → "&amp;TEXT(E93,"0%")&amp;", "&amp;TEXT(F92,"0.00")&amp;"x → "&amp;TEXT(F93,"0%")&amp;", "&amp;TEXT(G92,"0.00")&amp;"x → "&amp;TEXT(G93,"0%")&amp;".  The consequence is that closing cash does not stay pinned at the "&amp;TEXT(C15,"$#,##0.0")&amp;"M retained at close: the un-swept portion of excess cash flow drops through row 34 into the cash rollforward and builds to "&amp;TEXT(G52,"$#,##0.0")&amp;"M by FY2030E, on which section 10 now earns interest income. Net debt still de-levers, but through accumulating cash rather than a shrinking Term Loan — cumulative Term Loan paydown over the hold is only "&amp;TEXT(G61,"$#,##0.0")&amp;"M of the "&amp;TEXT(C16,"$#,##0.0")&amp;"M original principal — so gross debt and therefore cash interest stay materially higher: total cash interest over the modelled hold is "&amp;TEXT(SUM(C23:G23),"$#,##0.0")&amp;"M. Critically, that interest earns almost no tax relief, because the §163(j) cap in section 7 binds throughout and deductible interest equals the cap regardless of how much interest is actually paid. Exit net debt lands at "&amp;TEXT(G57,"$#,##0.0")&amp;"M and exit net leverage at "&amp;TEXT(G59,"0.00")&amp;"x.  FY2026E STUB PERIOD (section 9). The sponsor funds on "&amp;TEXT(C98,"dd-mmm-yyyy")&amp;", so it owns only "&amp;TEXT(C101,"0")&amp;" days of FY2026E. Every flow item in the FY2026E column is therefore scaled by the "&amp;TEXT(C102,"0.0%")&amp;" period factor in row 102; balance-sheet rows are not scaled. The model recognises "&amp;TEXT(C103,"#,##0")&amp;" days of cash flow against a calendar hold of "&amp;TEXT(C104,"#,##0")&amp;_xlfn._LONGTEXT(" days (check in C105), which is why the headline MOIC^(1/n) IRR on Tab 5 now reconciles exactly to the dated XIRR.  EVERY FIGURE IN THIS NOTE IS A LIVE TEXT() REFERENCE, not a typed number, so the narrative cannot fall out of date with the mechanics it de","scribes.")</f>
        <v>Mechanic note — interest convention, circularity, cash sweep and the FY2026E stub period.  INTEREST CONVENTION. Cash interest is charged on the AVERAGE of the opening and closing debt balance (row 20 = all-in rate × AVERAGE(row 38, row 41)), the standard production convention, and is scaled by the period factor in row 102 so the stub year carries only the interest that accrues after close. This is deliberately circular: the closing balance depends on the cash sweep, the sweep depends on free cash flow, and free cash flow depends on this interest line. Section 10 adds a second intended loop — cash earns interest income, which feeds EBT, free cash flow and therefore cash. Excel resolves both by iteration: iterative calculation is enabled at 100 maximum iterations and a maximum change of 0.001, which converges to well inside $0.1M on every line.  The blue switch in C17 is the breaker: set it to 0 and rows 20-22 and row 112 revert to the OPENING-balance convention, cutting the dependency loop so each year solves in a single pass. Use that if the model ever errors into a circular-reference cascade (zeros or #REF! propagating through rows 20-41, typically after a bad paste, a deleted row, or opening the file with iterative calculation off): flip to 0, let it resolve, then flip back to 1 and press F9.  The revolver is undrawn throughout, so the only revolver cost is the commitment fee on the average undrawn capacity.  CASH SWEEP — LEVERAGE STEP-DOWN (section 8). The sweep is not a flat 100%. Each year is re-tested against that year OPENING net-leverage ratio (row 92 = opening net debt ÷ prior-year Adj. EBITDA): 50% above 4.50x, 25% from 3.50x to 4.50x, 0% below 3.50x. On the selected case the path is 5.46x → 50%, 5.19x → 50%, 4.48x → 25%, 3.77x → 25%, 3.07x → 0%.  The consequence is that closing cash does not stay pinned at the $18.3M retained at close: the un-swept portion of excess cash flow drops through row 34 into the cash rollforward and builds to $715.3M by FY2030E, on which section 10 now earns interest income. Net debt still de-levers, but through accumulating cash rather than a shrinking Term Loan — cumulative Term Loan paydown over the hold is only $292.4M of the $2,458.0M original principal — so gross debt and therefore cash interest stay materially higher: total cash interest over the modelled hold is $796.8M. Critically, that interest earns almost no tax relief, because the §163(j) cap in section 7 binds throughout and deductible interest equals the cap regardless of how much interest is actually paid. Exit net debt lands at $1,450.3M and exit net leverage at 2.37x.  FY2026E STUB PERIOD (section 9). The sponsor funds on 15-Dec-2026, so it owns only 16 days of FY2026E. Every flow item in the FY2026E column is therefore scaled by the 4.4% period factor in row 102; balance-sheet rows are not scaled. The model recognises 1,477 days of cash flow against a calendar hold of 1,477 days (check in C105), which is why the headline MOIC^(1/n) IRR on Tab 5 now reconciles exactly to the dated XIRR.  EVERY FIGURE IN THIS NOTE IS A LIVE TEXT() REFERENCE, not a typed number, so the narrative cannot fall out of date with the mechanics it describes.</v>
      </c>
      <c r="C66" s="261"/>
      <c r="D66" s="261"/>
      <c r="E66" s="261"/>
      <c r="F66" s="261"/>
      <c r="G66" s="261"/>
      <c r="H66" s="261"/>
    </row>
    <row r="67" spans="1:8" x14ac:dyDescent="0.35">
      <c r="A67" s="78"/>
      <c r="B67" s="78"/>
      <c r="C67" s="78"/>
      <c r="D67" s="78"/>
      <c r="E67" s="78"/>
      <c r="F67" s="78"/>
      <c r="G67" s="78"/>
      <c r="H67" s="78"/>
    </row>
    <row r="68" spans="1:8" x14ac:dyDescent="0.35">
      <c r="A68" s="78"/>
      <c r="B68" s="74" t="s">
        <v>362</v>
      </c>
      <c r="C68" s="71" t="s">
        <v>4</v>
      </c>
      <c r="D68" s="177"/>
      <c r="E68" s="177"/>
      <c r="F68" s="177"/>
      <c r="G68" s="177"/>
      <c r="H68" s="178" t="s">
        <v>96</v>
      </c>
    </row>
    <row r="69" spans="1:8" x14ac:dyDescent="0.35">
      <c r="A69" s="78"/>
      <c r="B69" s="53" t="s">
        <v>363</v>
      </c>
      <c r="C69" s="54">
        <v>0.3</v>
      </c>
      <c r="D69" s="78"/>
      <c r="E69" s="78"/>
      <c r="F69" s="78"/>
      <c r="G69" s="78"/>
      <c r="H69" s="52" t="s">
        <v>364</v>
      </c>
    </row>
    <row r="70" spans="1:8" x14ac:dyDescent="0.35">
      <c r="A70" s="78"/>
      <c r="B70" s="74" t="s">
        <v>365</v>
      </c>
      <c r="C70" s="71" t="s">
        <v>145</v>
      </c>
      <c r="D70" s="71" t="s">
        <v>146</v>
      </c>
      <c r="E70" s="71" t="s">
        <v>147</v>
      </c>
      <c r="F70" s="71" t="s">
        <v>148</v>
      </c>
      <c r="G70" s="71" t="s">
        <v>149</v>
      </c>
      <c r="H70" s="178" t="s">
        <v>96</v>
      </c>
    </row>
    <row r="71" spans="1:8" x14ac:dyDescent="0.35">
      <c r="B71" s="78" t="s">
        <v>366</v>
      </c>
      <c r="C71" s="85">
        <f>C19</f>
        <v>16.121773873972604</v>
      </c>
      <c r="D71" s="85">
        <f t="shared" ref="D71:G71" si="24">D19</f>
        <v>395.28891675</v>
      </c>
      <c r="E71" s="85">
        <f t="shared" si="24"/>
        <v>424.63151710875007</v>
      </c>
      <c r="F71" s="85">
        <f t="shared" si="24"/>
        <v>455.92015521150006</v>
      </c>
      <c r="G71" s="85">
        <f t="shared" si="24"/>
        <v>489.27607833175318</v>
      </c>
      <c r="H71" s="64" t="s">
        <v>378</v>
      </c>
    </row>
    <row r="72" spans="1:8" x14ac:dyDescent="0.35">
      <c r="B72" s="79" t="s">
        <v>367</v>
      </c>
      <c r="C72" s="89">
        <f ca="1">$C$69*C71+C112</f>
        <v>4.8667589814366634</v>
      </c>
      <c r="D72" s="89">
        <f ca="1">$C$69*D71+D112</f>
        <v>120.7290073901478</v>
      </c>
      <c r="E72" s="89">
        <f ca="1">$C$69*E71+E112</f>
        <v>133.54945810802005</v>
      </c>
      <c r="F72" s="89">
        <f ca="1">$C$69*F71+F112</f>
        <v>148.70854891442551</v>
      </c>
      <c r="G72" s="89">
        <f ca="1">$C$69*G71+G112</f>
        <v>166.84629823671006</v>
      </c>
      <c r="H72" s="64" t="s">
        <v>576</v>
      </c>
    </row>
    <row r="73" spans="1:8" x14ac:dyDescent="0.35">
      <c r="B73" s="78" t="s">
        <v>368</v>
      </c>
      <c r="C73" s="85">
        <f ca="1">C23</f>
        <v>9.2826296237661392</v>
      </c>
      <c r="D73" s="85">
        <f t="shared" ref="D73:G73" ca="1" si="25">D23</f>
        <v>207.14138018708718</v>
      </c>
      <c r="E73" s="85">
        <f t="shared" ca="1" si="25"/>
        <v>199.52757757110601</v>
      </c>
      <c r="F73" s="85">
        <f t="shared" ca="1" si="25"/>
        <v>192.76534438611233</v>
      </c>
      <c r="G73" s="85">
        <f t="shared" ca="1" si="25"/>
        <v>188.11943866985683</v>
      </c>
      <c r="H73" s="64" t="s">
        <v>379</v>
      </c>
    </row>
    <row r="74" spans="1:8" x14ac:dyDescent="0.35">
      <c r="B74" s="78" t="s">
        <v>369</v>
      </c>
      <c r="C74" s="86">
        <v>0</v>
      </c>
      <c r="D74" s="85">
        <f ca="1">C77</f>
        <v>4.4158706423294758</v>
      </c>
      <c r="E74" s="85">
        <f ca="1">D77</f>
        <v>90.82824343926886</v>
      </c>
      <c r="F74" s="85">
        <f ca="1">E77</f>
        <v>156.80636290235481</v>
      </c>
      <c r="G74" s="85">
        <f ca="1">F77</f>
        <v>200.86315837404163</v>
      </c>
      <c r="H74" s="52" t="s">
        <v>380</v>
      </c>
    </row>
    <row r="75" spans="1:8" x14ac:dyDescent="0.35">
      <c r="B75" s="78" t="s">
        <v>370</v>
      </c>
      <c r="C75" s="85">
        <f ca="1">MAX(C73-C72,0)</f>
        <v>4.4158706423294758</v>
      </c>
      <c r="D75" s="85">
        <f t="shared" ref="D75:G75" ca="1" si="26">MAX(D73-D72,0)</f>
        <v>86.41237279693938</v>
      </c>
      <c r="E75" s="85">
        <f t="shared" ca="1" si="26"/>
        <v>65.97811946308596</v>
      </c>
      <c r="F75" s="85">
        <f t="shared" ca="1" si="26"/>
        <v>44.056795471686826</v>
      </c>
      <c r="G75" s="85">
        <f t="shared" ca="1" si="26"/>
        <v>21.273140433146779</v>
      </c>
      <c r="H75" s="64" t="s">
        <v>381</v>
      </c>
    </row>
    <row r="76" spans="1:8" x14ac:dyDescent="0.35">
      <c r="B76" s="78" t="s">
        <v>371</v>
      </c>
      <c r="C76" s="85">
        <f ca="1">MIN(C74,MAX(C72-C73,0))</f>
        <v>0</v>
      </c>
      <c r="D76" s="85">
        <f t="shared" ref="D76:G76" ca="1" si="27">MIN(D74,MAX(D72-D73,0))</f>
        <v>0</v>
      </c>
      <c r="E76" s="85">
        <f t="shared" ca="1" si="27"/>
        <v>0</v>
      </c>
      <c r="F76" s="85">
        <f t="shared" ca="1" si="27"/>
        <v>0</v>
      </c>
      <c r="G76" s="85">
        <f t="shared" ca="1" si="27"/>
        <v>0</v>
      </c>
      <c r="H76" s="64" t="s">
        <v>382</v>
      </c>
    </row>
    <row r="77" spans="1:8" x14ac:dyDescent="0.35">
      <c r="B77" s="94" t="s">
        <v>372</v>
      </c>
      <c r="C77" s="95">
        <f ca="1">C74+C75-C76</f>
        <v>4.4158706423294758</v>
      </c>
      <c r="D77" s="95">
        <f t="shared" ref="D77:G77" ca="1" si="28">D74+D75-D76</f>
        <v>90.82824343926886</v>
      </c>
      <c r="E77" s="95">
        <f t="shared" ca="1" si="28"/>
        <v>156.80636290235481</v>
      </c>
      <c r="F77" s="95">
        <f t="shared" ca="1" si="28"/>
        <v>200.86315837404163</v>
      </c>
      <c r="G77" s="95">
        <f t="shared" ca="1" si="28"/>
        <v>222.13629880718841</v>
      </c>
      <c r="H77" s="67" t="s">
        <v>383</v>
      </c>
    </row>
    <row r="78" spans="1:8" x14ac:dyDescent="0.35">
      <c r="B78" s="79" t="s">
        <v>373</v>
      </c>
      <c r="C78" s="89">
        <f ca="1">MIN(C73,C72)+C76</f>
        <v>4.8667589814366634</v>
      </c>
      <c r="D78" s="89">
        <f t="shared" ref="D78:G78" ca="1" si="29">MIN(D73,D72)+D76</f>
        <v>120.7290073901478</v>
      </c>
      <c r="E78" s="89">
        <f t="shared" ca="1" si="29"/>
        <v>133.54945810802005</v>
      </c>
      <c r="F78" s="89">
        <f t="shared" ca="1" si="29"/>
        <v>148.70854891442551</v>
      </c>
      <c r="G78" s="89">
        <f t="shared" ca="1" si="29"/>
        <v>166.84629823671006</v>
      </c>
      <c r="H78" s="64" t="s">
        <v>384</v>
      </c>
    </row>
    <row r="79" spans="1:8" x14ac:dyDescent="0.35">
      <c r="B79" s="94" t="s">
        <v>374</v>
      </c>
      <c r="C79" s="95">
        <f ca="1">C71+C112-C78</f>
        <v>11.28524171178082</v>
      </c>
      <c r="D79" s="95">
        <f ca="1">D71+D112-D78</f>
        <v>276.70224172500002</v>
      </c>
      <c r="E79" s="95">
        <f ca="1">E71+E112-E78</f>
        <v>297.24206197612511</v>
      </c>
      <c r="F79" s="95">
        <f ca="1">F71+F112-F78</f>
        <v>319.14410864805006</v>
      </c>
      <c r="G79" s="95">
        <f ca="1">G71+G112-G78</f>
        <v>342.49325483222719</v>
      </c>
      <c r="H79" s="67" t="s">
        <v>577</v>
      </c>
    </row>
    <row r="80" spans="1:8" x14ac:dyDescent="0.35">
      <c r="B80" s="90" t="s">
        <v>375</v>
      </c>
      <c r="C80" s="176">
        <f ca="1">$C$14*MAX(C79,0)</f>
        <v>3.2162938878575336</v>
      </c>
      <c r="D80" s="176">
        <f t="shared" ref="D80:G80" ca="1" si="30">$C$14*MAX(D79,0)</f>
        <v>78.860138891624999</v>
      </c>
      <c r="E80" s="176">
        <f t="shared" ca="1" si="30"/>
        <v>84.713987663195653</v>
      </c>
      <c r="F80" s="176">
        <f t="shared" ca="1" si="30"/>
        <v>90.956070964694263</v>
      </c>
      <c r="G80" s="176">
        <f t="shared" ca="1" si="30"/>
        <v>97.610577627184739</v>
      </c>
      <c r="H80" s="52" t="s">
        <v>385</v>
      </c>
    </row>
    <row r="81" spans="2:8" x14ac:dyDescent="0.35">
      <c r="B81" s="90" t="s">
        <v>386</v>
      </c>
      <c r="C81" s="176">
        <f ca="1">C73-C78</f>
        <v>4.4158706423294758</v>
      </c>
      <c r="D81" s="176">
        <f t="shared" ref="D81:G81" ca="1" si="31">D73-D78</f>
        <v>86.41237279693938</v>
      </c>
      <c r="E81" s="176">
        <f t="shared" ca="1" si="31"/>
        <v>65.97811946308596</v>
      </c>
      <c r="F81" s="176">
        <f t="shared" ca="1" si="31"/>
        <v>44.056795471686826</v>
      </c>
      <c r="G81" s="176">
        <f t="shared" ca="1" si="31"/>
        <v>21.273140433146779</v>
      </c>
      <c r="H81" s="64" t="s">
        <v>387</v>
      </c>
    </row>
    <row r="83" spans="2:8" x14ac:dyDescent="0.35">
      <c r="B83" s="20" t="s">
        <v>435</v>
      </c>
      <c r="C83" s="97" t="s">
        <v>4</v>
      </c>
      <c r="D83" s="192"/>
      <c r="E83" s="192"/>
      <c r="F83" s="192"/>
      <c r="G83" s="192"/>
      <c r="H83" s="23" t="s">
        <v>96</v>
      </c>
    </row>
    <row r="84" spans="2:8" x14ac:dyDescent="0.35">
      <c r="B84" s="99" t="s">
        <v>436</v>
      </c>
      <c r="C84" s="193">
        <v>1</v>
      </c>
      <c r="D84" s="194"/>
      <c r="E84" s="194"/>
      <c r="F84" s="194"/>
      <c r="G84" s="194"/>
      <c r="H84" s="102" t="s">
        <v>437</v>
      </c>
    </row>
    <row r="85" spans="2:8" x14ac:dyDescent="0.35">
      <c r="B85" s="58" t="s">
        <v>467</v>
      </c>
      <c r="C85" s="188" t="s">
        <v>438</v>
      </c>
      <c r="D85" s="188" t="s">
        <v>439</v>
      </c>
    </row>
    <row r="86" spans="2:8" x14ac:dyDescent="0.35">
      <c r="B86" s="53" t="s">
        <v>440</v>
      </c>
      <c r="C86" s="189">
        <v>4.5</v>
      </c>
      <c r="D86" s="54">
        <v>0.5</v>
      </c>
      <c r="H86" s="52" t="s">
        <v>441</v>
      </c>
    </row>
    <row r="87" spans="2:8" x14ac:dyDescent="0.35">
      <c r="B87" s="53" t="s">
        <v>442</v>
      </c>
      <c r="C87" s="189">
        <v>3.5</v>
      </c>
      <c r="D87" s="54">
        <v>0.25</v>
      </c>
      <c r="H87" s="52" t="s">
        <v>443</v>
      </c>
    </row>
    <row r="88" spans="2:8" x14ac:dyDescent="0.35">
      <c r="B88" s="53" t="s">
        <v>444</v>
      </c>
      <c r="C88" s="190" t="s">
        <v>445</v>
      </c>
      <c r="D88" s="54">
        <v>0</v>
      </c>
      <c r="H88" s="52" t="s">
        <v>446</v>
      </c>
    </row>
    <row r="89" spans="2:8" x14ac:dyDescent="0.35">
      <c r="B89" s="20" t="s">
        <v>447</v>
      </c>
      <c r="C89" s="97" t="s">
        <v>145</v>
      </c>
      <c r="D89" s="97" t="s">
        <v>146</v>
      </c>
      <c r="E89" s="97" t="s">
        <v>147</v>
      </c>
      <c r="F89" s="97" t="s">
        <v>148</v>
      </c>
      <c r="G89" s="97" t="s">
        <v>149</v>
      </c>
      <c r="H89" s="23" t="s">
        <v>96</v>
      </c>
    </row>
    <row r="90" spans="2:8" x14ac:dyDescent="0.35">
      <c r="B90" s="99" t="s">
        <v>448</v>
      </c>
      <c r="C90" s="104">
        <f>C38+C44-C50</f>
        <v>2439.66</v>
      </c>
      <c r="D90" s="104">
        <f t="shared" ref="D90:G90" ca="1" si="32">D38+D44-D50</f>
        <v>2432.9369065773099</v>
      </c>
      <c r="E90" s="104">
        <f t="shared" ca="1" si="32"/>
        <v>2247.9706937658748</v>
      </c>
      <c r="F90" s="104">
        <f t="shared" ca="1" si="32"/>
        <v>2024.2074320022812</v>
      </c>
      <c r="G90" s="104">
        <f t="shared" ca="1" si="32"/>
        <v>1759.0022175311749</v>
      </c>
      <c r="H90" s="105" t="s">
        <v>449</v>
      </c>
    </row>
    <row r="91" spans="2:8" x14ac:dyDescent="0.35">
      <c r="B91" s="53" t="s">
        <v>450</v>
      </c>
      <c r="C91" s="88">
        <f>'3 · Operating Model'!C25</f>
        <v>446.9</v>
      </c>
      <c r="D91" s="85">
        <f>C58</f>
        <v>469.13409899999999</v>
      </c>
      <c r="E91" s="85">
        <f>D58</f>
        <v>501.712855875</v>
      </c>
      <c r="F91" s="85">
        <f>E58</f>
        <v>536.37665319000007</v>
      </c>
      <c r="G91" s="85">
        <f>F58</f>
        <v>573.25254809681257</v>
      </c>
      <c r="H91" s="52" t="s">
        <v>451</v>
      </c>
    </row>
    <row r="92" spans="2:8" x14ac:dyDescent="0.35">
      <c r="B92" s="62" t="s">
        <v>452</v>
      </c>
      <c r="C92" s="191">
        <f>C90/C91</f>
        <v>5.4590736182591186</v>
      </c>
      <c r="D92" s="191">
        <f t="shared" ref="D92:G92" ca="1" si="33">D90/D91</f>
        <v>5.1860159211690773</v>
      </c>
      <c r="E92" s="191">
        <f t="shared" ca="1" si="33"/>
        <v>4.4805921702870393</v>
      </c>
      <c r="F92" s="191">
        <f t="shared" ca="1" si="33"/>
        <v>3.7738544732767267</v>
      </c>
      <c r="G92" s="191">
        <f t="shared" ca="1" si="33"/>
        <v>3.0684594832958498</v>
      </c>
      <c r="H92" s="64" t="s">
        <v>453</v>
      </c>
    </row>
    <row r="93" spans="2:8" x14ac:dyDescent="0.35">
      <c r="B93" s="62" t="s">
        <v>454</v>
      </c>
      <c r="C93" s="84">
        <f>IF($C$84=0,$C$13,IF(C92&gt;$C$86,$D$86,IF(C92&gt;=$C$87,$D$87,$D$88)))</f>
        <v>0.5</v>
      </c>
      <c r="D93" s="84">
        <f t="shared" ref="D93:G93" ca="1" si="34">IF($C$84=0,$C$13,IF(D92&gt;$C$86,$D$86,IF(D92&gt;=$C$87,$D$87,$D$88)))</f>
        <v>0.5</v>
      </c>
      <c r="E93" s="84">
        <f t="shared" ca="1" si="34"/>
        <v>0.25</v>
      </c>
      <c r="F93" s="84">
        <f t="shared" ca="1" si="34"/>
        <v>0.25</v>
      </c>
      <c r="G93" s="84">
        <f t="shared" ca="1" si="34"/>
        <v>0</v>
      </c>
      <c r="H93" s="52" t="s">
        <v>455</v>
      </c>
    </row>
    <row r="94" spans="2:8" x14ac:dyDescent="0.35">
      <c r="B94" s="183" t="s">
        <v>456</v>
      </c>
      <c r="C94" s="195" t="str">
        <f>IF($C$84=0,"Flat "&amp;TEXT($C$13,"0%"),IF(C92&gt;$C$86,"Tier 1  (&gt;"&amp;TEXT($C$86,"0.00")&amp;"x)",IF(C92&gt;=$C$87,"Tier 2  ("&amp;TEXT($C$87,"0.00")&amp;"-"&amp;TEXT($C$86,"0.00")&amp;"x)","Tier 3  (&lt;"&amp;TEXT($C$87,"0.00")&amp;"x)")))</f>
        <v>Tier 1  (&gt;4.50x)</v>
      </c>
      <c r="D94" s="195" t="str">
        <f t="shared" ref="D94:G94" ca="1" si="35">IF($C$84=0,"Flat "&amp;TEXT($C$13,"0%"),IF(D92&gt;$C$86,"Tier 1  (&gt;"&amp;TEXT($C$86,"0.00")&amp;"x)",IF(D92&gt;=$C$87,"Tier 2  ("&amp;TEXT($C$87,"0.00")&amp;"-"&amp;TEXT($C$86,"0.00")&amp;"x)","Tier 3  (&lt;"&amp;TEXT($C$87,"0.00")&amp;"x)")))</f>
        <v>Tier 1  (&gt;4.50x)</v>
      </c>
      <c r="E94" s="195" t="str">
        <f t="shared" ca="1" si="35"/>
        <v>Tier 2  (3.50-4.50x)</v>
      </c>
      <c r="F94" s="195" t="str">
        <f t="shared" ca="1" si="35"/>
        <v>Tier 2  (3.50-4.50x)</v>
      </c>
      <c r="G94" s="195" t="str">
        <f t="shared" ca="1" si="35"/>
        <v>Tier 3  (&lt;3.50x)</v>
      </c>
      <c r="H94" s="102" t="s">
        <v>457</v>
      </c>
    </row>
    <row r="95" spans="2:8" x14ac:dyDescent="0.35">
      <c r="B95" s="90" t="s">
        <v>458</v>
      </c>
      <c r="C95" s="176">
        <f ca="1">MAX(C32,0)-C33</f>
        <v>2.8228179442215655</v>
      </c>
      <c r="D95" s="176">
        <f t="shared" ref="D95:G95" ca="1" si="36">MAX(D32,0)-D33</f>
        <v>80.193356405717736</v>
      </c>
      <c r="E95" s="176">
        <f t="shared" ca="1" si="36"/>
        <v>149.3878213226952</v>
      </c>
      <c r="F95" s="176">
        <f t="shared" ca="1" si="36"/>
        <v>180.46928585332972</v>
      </c>
      <c r="G95" s="176">
        <f t="shared" ca="1" si="36"/>
        <v>284.15770764430522</v>
      </c>
      <c r="H95" s="64" t="s">
        <v>459</v>
      </c>
    </row>
    <row r="97" spans="2:8" x14ac:dyDescent="0.35">
      <c r="B97" s="215" t="s">
        <v>541</v>
      </c>
      <c r="C97" s="97" t="s">
        <v>625</v>
      </c>
      <c r="D97" s="97" t="str">
        <f>D$18</f>
        <v>FY2027E</v>
      </c>
      <c r="E97" s="97" t="str">
        <f>E$18</f>
        <v>FY2028E</v>
      </c>
      <c r="F97" s="97" t="str">
        <f>F$18</f>
        <v>FY2029E</v>
      </c>
      <c r="G97" s="97" t="str">
        <f>G$18</f>
        <v>FY2030E</v>
      </c>
      <c r="H97" s="23" t="s">
        <v>96</v>
      </c>
    </row>
    <row r="98" spans="2:8" x14ac:dyDescent="0.35">
      <c r="B98" t="s">
        <v>542</v>
      </c>
      <c r="C98" s="201">
        <f>DATE(2026,12,15)</f>
        <v>46371</v>
      </c>
      <c r="H98" t="s">
        <v>543</v>
      </c>
    </row>
    <row r="99" spans="2:8" x14ac:dyDescent="0.35">
      <c r="B99" t="s">
        <v>544</v>
      </c>
      <c r="C99" s="201">
        <f>DATE(2030,12,31)</f>
        <v>47848</v>
      </c>
      <c r="H99" t="s">
        <v>545</v>
      </c>
    </row>
    <row r="100" spans="2:8" x14ac:dyDescent="0.35">
      <c r="B100" t="s">
        <v>546</v>
      </c>
      <c r="C100" s="216">
        <f>DATE(2026,12,31)</f>
        <v>46387</v>
      </c>
      <c r="H100" t="s">
        <v>547</v>
      </c>
    </row>
    <row r="101" spans="2:8" x14ac:dyDescent="0.35">
      <c r="B101" s="217" t="s">
        <v>548</v>
      </c>
      <c r="C101" s="218">
        <f>$C$100-$C$98</f>
        <v>16</v>
      </c>
      <c r="H101" s="217" t="s">
        <v>549</v>
      </c>
    </row>
    <row r="102" spans="2:8" x14ac:dyDescent="0.35">
      <c r="B102" s="220" t="s">
        <v>550</v>
      </c>
      <c r="C102" s="221">
        <f>MAX(MIN($C$101/365,1),0)</f>
        <v>4.3835616438356165E-2</v>
      </c>
      <c r="D102" s="221">
        <f>1</f>
        <v>1</v>
      </c>
      <c r="E102" s="221">
        <f>1</f>
        <v>1</v>
      </c>
      <c r="F102" s="221">
        <f>1</f>
        <v>1</v>
      </c>
      <c r="G102" s="221">
        <f>1</f>
        <v>1</v>
      </c>
      <c r="H102" s="217" t="s">
        <v>551</v>
      </c>
    </row>
    <row r="103" spans="2:8" x14ac:dyDescent="0.35">
      <c r="B103" s="90" t="s">
        <v>552</v>
      </c>
      <c r="C103" s="222">
        <f>$C$101+($C$99-$C$100)</f>
        <v>1477</v>
      </c>
      <c r="H103" s="217" t="s">
        <v>553</v>
      </c>
    </row>
    <row r="104" spans="2:8" x14ac:dyDescent="0.35">
      <c r="B104" s="90" t="s">
        <v>554</v>
      </c>
      <c r="C104" s="222">
        <f>$C$99-$C$98</f>
        <v>1477</v>
      </c>
      <c r="H104" s="217" t="s">
        <v>555</v>
      </c>
    </row>
    <row r="105" spans="2:8" x14ac:dyDescent="0.35">
      <c r="B105" s="112" t="s">
        <v>556</v>
      </c>
      <c r="C105" s="223">
        <f>ROUND($C$103-$C$104,6)</f>
        <v>0</v>
      </c>
      <c r="H105" t="s">
        <v>557</v>
      </c>
    </row>
    <row r="106" spans="2:8" x14ac:dyDescent="0.35">
      <c r="B106" s="110" t="s">
        <v>558</v>
      </c>
      <c r="C106" s="224">
        <f>$C$104/365</f>
        <v>4.0465753424657533</v>
      </c>
      <c r="H106" s="217" t="s">
        <v>559</v>
      </c>
    </row>
    <row r="108" spans="2:8" x14ac:dyDescent="0.35">
      <c r="B108" s="20" t="s">
        <v>561</v>
      </c>
      <c r="C108" s="97" t="s">
        <v>4</v>
      </c>
      <c r="H108" s="23" t="s">
        <v>96</v>
      </c>
    </row>
    <row r="109" spans="2:8" x14ac:dyDescent="0.35">
      <c r="B109" s="18" t="s">
        <v>562</v>
      </c>
      <c r="C109" s="54">
        <v>5.0000000000000001E-3</v>
      </c>
      <c r="H109" t="s">
        <v>563</v>
      </c>
    </row>
    <row r="110" spans="2:8" x14ac:dyDescent="0.35">
      <c r="B110" s="219" t="s">
        <v>564</v>
      </c>
      <c r="C110" s="115">
        <f>$C$6-$C$109</f>
        <v>3.5000000000000003E-2</v>
      </c>
      <c r="H110" s="217" t="s">
        <v>565</v>
      </c>
    </row>
    <row r="111" spans="2:8" x14ac:dyDescent="0.35">
      <c r="B111" s="90" t="s">
        <v>365</v>
      </c>
      <c r="C111" s="97" t="s">
        <v>145</v>
      </c>
      <c r="D111" s="97" t="s">
        <v>146</v>
      </c>
      <c r="E111" s="97" t="s">
        <v>147</v>
      </c>
      <c r="F111" s="97" t="s">
        <v>148</v>
      </c>
      <c r="G111" s="97" t="s">
        <v>149</v>
      </c>
      <c r="H111" s="228" t="s">
        <v>96</v>
      </c>
    </row>
    <row r="112" spans="2:8" x14ac:dyDescent="0.35">
      <c r="B112" s="110" t="s">
        <v>566</v>
      </c>
      <c r="C112" s="229">
        <f ca="1">IF($C$17=1,$C$110*AVERAGE(C50,C52),$C$110*C50)*C$102</f>
        <v>3.0226819244882304E-2</v>
      </c>
      <c r="D112" s="229">
        <f t="shared" ref="D112:G112" ca="1" si="37">IF($C$17=1,$C$110*AVERAGE(D50,D52),$C$110*D50)*D$102</f>
        <v>2.1423323651478152</v>
      </c>
      <c r="E112" s="229">
        <f t="shared" ca="1" si="37"/>
        <v>6.1600029753950416</v>
      </c>
      <c r="F112" s="229">
        <f t="shared" ca="1" si="37"/>
        <v>11.932502350975478</v>
      </c>
      <c r="G112" s="229">
        <f t="shared" ca="1" si="37"/>
        <v>20.063474737184094</v>
      </c>
      <c r="H112" s="217" t="s">
        <v>567</v>
      </c>
    </row>
    <row r="113" spans="2:8" x14ac:dyDescent="0.35">
      <c r="B113" s="90" t="s">
        <v>568</v>
      </c>
      <c r="C113" s="59">
        <f ca="1">IF(C23=0,0,C112/C23)</f>
        <v>3.2562776357566996E-3</v>
      </c>
      <c r="D113" s="59">
        <f t="shared" ref="D113:G113" ca="1" si="38">IF(D23=0,0,D112/D23)</f>
        <v>1.0342367919016909E-2</v>
      </c>
      <c r="E113" s="59">
        <f t="shared" ca="1" si="38"/>
        <v>3.0872940224013847E-2</v>
      </c>
      <c r="F113" s="59">
        <f t="shared" ca="1" si="38"/>
        <v>6.1901699130495508E-2</v>
      </c>
      <c r="G113" s="59">
        <f t="shared" ca="1" si="38"/>
        <v>0.10665285245930807</v>
      </c>
      <c r="H113" t="s">
        <v>569</v>
      </c>
    </row>
  </sheetData>
  <mergeCells count="1">
    <mergeCell ref="B66:H66"/>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C0C04-DBAE-4857-96BA-ECAB10F2F2F5}">
  <dimension ref="A1:H113"/>
  <sheetViews>
    <sheetView showGridLines="0" zoomScale="77" workbookViewId="0">
      <pane ySplit="4" topLeftCell="A5" activePane="bottomLeft" state="frozen"/>
      <selection pane="bottomLeft"/>
    </sheetView>
  </sheetViews>
  <sheetFormatPr defaultRowHeight="14.5" x14ac:dyDescent="0.35"/>
  <cols>
    <col min="1" max="1" width="3.26953125" customWidth="1"/>
    <col min="2" max="2" width="45.453125" customWidth="1"/>
    <col min="3" max="7" width="17.26953125" customWidth="1"/>
    <col min="8" max="8" width="60" customWidth="1"/>
  </cols>
  <sheetData>
    <row r="1" spans="1:8" ht="16.5" x14ac:dyDescent="0.35">
      <c r="A1" s="18"/>
      <c r="B1" s="75" t="s">
        <v>59</v>
      </c>
      <c r="C1" s="120"/>
      <c r="D1" s="120"/>
      <c r="E1" s="120"/>
      <c r="F1" s="120"/>
      <c r="G1" s="120"/>
      <c r="H1" s="120"/>
    </row>
    <row r="2" spans="1:8" x14ac:dyDescent="0.35">
      <c r="A2" s="18"/>
      <c r="B2" s="76" t="str">
        <f>"Tab 5 — Returns &amp; Sensitivities  |  Single entry / single exit, no interim dividends → IRR = MOIC^(1/hold) − 1  |  Returns are SPONSOR NET of the management incentive pool (section 7)  |  FY2030E exit, "&amp;TEXT($C$6,"0.00")&amp;"-year hold from the modelled "&amp;TEXT('4 · Debt Schedule &amp; FCF'!$C$98,"dd-mmm-yyyy")&amp;" close  |  US$ in millions unless noted"</f>
        <v>Tab 5 — Returns &amp; Sensitivities  |  Single entry / single exit, no interim dividends → IRR = MOIC^(1/hold) − 1  |  Returns are SPONSOR NET of the management incentive pool (section 7)  |  FY2030E exit, 4.05-year hold from the modelled 15-Dec-2026 close  |  US$ in millions unless noted</v>
      </c>
      <c r="C2" s="120"/>
      <c r="D2" s="120"/>
      <c r="E2" s="120"/>
      <c r="F2" s="120"/>
      <c r="G2" s="120"/>
      <c r="H2" s="120"/>
    </row>
    <row r="3" spans="1:8" x14ac:dyDescent="0.35">
      <c r="A3" s="18"/>
      <c r="B3" s="77" t="str">
        <f ca="1">_xlfn._LONGTEXT("Legend:  BLUE = editable assumption   ·   BLACK = live formula   ·   GREEN = link to another tab.  Exit net debt is held on the paydown path from Tab 4 for the SELECTED operating case ('3 · Operating Model' C6: 1 = Base, 2 = Downside, 3 = STRESS); the sen","sitivity tables then isolate exit valuation (multiple) and exit-year EBITDA around that case.  MANAGEMENT INCENTIVE POOL: the sponsor does not keep 100% of exit equity — an appreciation-only pool (section 7, rows 70-81) takes ")&amp;TEXT($C$71,"0.0%")&amp;_xlfn._LONGTEXT(" of value created above a strike set at the sponsor entry cheque. Every MOIC and IRR on this tab, including both sensitivity grids, is SPONSOR NET of that pool; the gross pre-pool figures are retained as memos in rows 78-79.  IRR CONVENTION — NOW FULLY RE","CONCILED. The headline IRR in C20 is MOIC^(1/n) annualised over the hold in C6, which is a GREEN LINK to the actual calendar hold of ")&amp;TEXT($C$6,"0.00")&amp;" years ('4 · Debt Schedule &amp; FCF' C106 = (exit date − close date) ÷ 365), not a hardcoded 5.0. Section 8 (rows 83-92) runs XIRR on the same two dated cash flows and returns "&amp;TEXT($D$86,"0.0%")&amp;" against the headline "&amp;TEXT($C$20,"0.0%")&amp;" — a residual of "&amp;TEXT($D$90,"0.000%")&amp;", i.e. nil. The former gap between the two was a STUB-PERIOD artefact and has been eliminated at source: Tab 4 section 9 scales every FY2026E flow item by the "&amp;TEXT('4 · Debt Schedule &amp; FCF'!$C$102,"0.0%")&amp;" period factor for the "&amp;TEXT('4 · Debt Schedule &amp; FCF'!$C$101,"0")&amp;" days the sponsor actually owns the business in the stub fiscal year, so the model now recognises "&amp;TEXT('4 · Debt Schedule &amp; FCF'!$C$103,"#,##0")&amp;" days of free cash flow and debt paydown against a calendar hold of exactly the same "&amp;TEXT('4 · Debt Schedule &amp; FCF'!$C$104,"#,##0")&amp;" days. No full first year of deleveraging is credited to a sponsor that owns the asset for "&amp;TEXT('4 · Debt Schedule &amp; FCF'!$C$101,"0")&amp;" days of it."</f>
        <v>Legend:  BLUE = editable assumption   ·   BLACK = live formula   ·   GREEN = link to another tab.  Exit net debt is held on the paydown path from Tab 4 for the SELECTED operating case ('3 · Operating Model' C6: 1 = Base, 2 = Downside, 3 = STRESS); the sensitivity tables then isolate exit valuation (multiple) and exit-year EBITDA around that case.  MANAGEMENT INCENTIVE POOL: the sponsor does not keep 100% of exit equity — an appreciation-only pool (section 7, rows 70-81) takes 10.0% of value created above a strike set at the sponsor entry cheque. Every MOIC and IRR on this tab, including both sensitivity grids, is SPONSOR NET of that pool; the gross pre-pool figures are retained as memos in rows 78-79.  IRR CONVENTION — NOW FULLY RECONCILED. The headline IRR in C20 is MOIC^(1/n) annualised over the hold in C6, which is a GREEN LINK to the actual calendar hold of 4.05 years ('4 · Debt Schedule &amp; FCF' C106 = (exit date − close date) ÷ 365), not a hardcoded 5.0. Section 8 (rows 83-92) runs XIRR on the same two dated cash flows and returns 17.3% against the headline 17.3% — a residual of 0.000%, i.e. nil. The former gap between the two was a STUB-PERIOD artefact and has been eliminated at source: Tab 4 section 9 scales every FY2026E flow item by the 4.4% period factor for the 16 days the sponsor actually owns the business in the stub fiscal year, so the model now recognises 1,477 days of free cash flow and debt paydown against a calendar hold of exactly the same 1,477 days. No full first year of deleveraging is credited to a sponsor that owns the asset for 16 days of it.</v>
      </c>
      <c r="C3" s="18"/>
      <c r="D3" s="18"/>
      <c r="E3" s="18"/>
      <c r="F3" s="18"/>
      <c r="G3" s="18"/>
      <c r="H3" s="18"/>
    </row>
    <row r="4" spans="1:8" x14ac:dyDescent="0.35">
      <c r="A4" s="18"/>
      <c r="B4" s="18"/>
      <c r="C4" s="18"/>
      <c r="D4" s="18"/>
      <c r="E4" s="18"/>
      <c r="F4" s="18"/>
      <c r="G4" s="18"/>
      <c r="H4" s="18"/>
    </row>
    <row r="5" spans="1:8" x14ac:dyDescent="0.35">
      <c r="A5" s="18"/>
      <c r="B5" s="70" t="s">
        <v>255</v>
      </c>
      <c r="C5" s="71" t="s">
        <v>4</v>
      </c>
      <c r="D5" s="127"/>
      <c r="E5" s="127"/>
      <c r="F5" s="127"/>
      <c r="G5" s="127"/>
      <c r="H5" s="72" t="s">
        <v>96</v>
      </c>
    </row>
    <row r="6" spans="1:8" x14ac:dyDescent="0.35">
      <c r="A6" s="18"/>
      <c r="B6" s="18" t="s">
        <v>256</v>
      </c>
      <c r="C6" s="225">
        <f>'4 · Debt Schedule &amp; FCF'!C106</f>
        <v>4.0465753424657533</v>
      </c>
      <c r="D6" s="18"/>
      <c r="E6" s="18"/>
      <c r="F6" s="18"/>
      <c r="G6" s="18"/>
      <c r="H6" s="24" t="s">
        <v>617</v>
      </c>
    </row>
    <row r="7" spans="1:8" x14ac:dyDescent="0.35">
      <c r="A7" s="18"/>
      <c r="B7" s="18" t="s">
        <v>257</v>
      </c>
      <c r="C7" s="106">
        <v>11.2</v>
      </c>
      <c r="D7" s="18"/>
      <c r="E7" s="18"/>
      <c r="F7" s="18"/>
      <c r="G7" s="18"/>
      <c r="H7" s="24" t="s">
        <v>258</v>
      </c>
    </row>
    <row r="8" spans="1:8" x14ac:dyDescent="0.35">
      <c r="A8" s="18"/>
      <c r="B8" s="90" t="s">
        <v>259</v>
      </c>
      <c r="C8" s="107">
        <f>'Transaction Data'!C54</f>
        <v>11.188185276348177</v>
      </c>
      <c r="D8" s="18"/>
      <c r="E8" s="18"/>
      <c r="F8" s="18"/>
      <c r="G8" s="18"/>
      <c r="H8" s="24" t="s">
        <v>260</v>
      </c>
    </row>
    <row r="9" spans="1:8" x14ac:dyDescent="0.35">
      <c r="A9" s="18"/>
      <c r="B9" s="18"/>
      <c r="C9" s="18"/>
      <c r="D9" s="18"/>
      <c r="E9" s="18"/>
      <c r="F9" s="18"/>
      <c r="G9" s="18"/>
      <c r="H9" s="18"/>
    </row>
    <row r="10" spans="1:8" x14ac:dyDescent="0.35">
      <c r="A10" s="18"/>
      <c r="B10" s="70" t="s">
        <v>330</v>
      </c>
      <c r="C10" s="71" t="s">
        <v>261</v>
      </c>
      <c r="D10" s="127"/>
      <c r="E10" s="127"/>
      <c r="F10" s="127"/>
      <c r="G10" s="127"/>
      <c r="H10" s="72" t="s">
        <v>96</v>
      </c>
    </row>
    <row r="11" spans="1:8" x14ac:dyDescent="0.35">
      <c r="A11" s="18"/>
      <c r="B11" s="18" t="s">
        <v>262</v>
      </c>
      <c r="C11" s="88">
        <f>'2 · Sources &amp; Uses'!C23</f>
        <v>2696.7887499999997</v>
      </c>
      <c r="D11" s="18"/>
      <c r="E11" s="18"/>
      <c r="F11" s="18"/>
      <c r="G11" s="18"/>
      <c r="H11" s="24" t="s">
        <v>263</v>
      </c>
    </row>
    <row r="12" spans="1:8" x14ac:dyDescent="0.35">
      <c r="A12" s="18"/>
      <c r="B12" s="18" t="s">
        <v>264</v>
      </c>
      <c r="C12" s="88">
        <f>'3 · Operating Model'!H25</f>
        <v>612.4750908613313</v>
      </c>
      <c r="D12" s="18"/>
      <c r="E12" s="18"/>
      <c r="F12" s="18"/>
      <c r="G12" s="18"/>
      <c r="H12" s="24" t="s">
        <v>329</v>
      </c>
    </row>
    <row r="13" spans="1:8" x14ac:dyDescent="0.35">
      <c r="A13" s="18"/>
      <c r="B13" s="18" t="s">
        <v>265</v>
      </c>
      <c r="C13" s="108">
        <f>C7</f>
        <v>11.2</v>
      </c>
      <c r="D13" s="18"/>
      <c r="E13" s="18"/>
      <c r="F13" s="18"/>
      <c r="G13" s="18"/>
      <c r="H13" s="109" t="s">
        <v>266</v>
      </c>
    </row>
    <row r="14" spans="1:8" x14ac:dyDescent="0.35">
      <c r="A14" s="18"/>
      <c r="B14" s="110" t="s">
        <v>267</v>
      </c>
      <c r="C14" s="111">
        <f>C12*C13</f>
        <v>6859.7210176469098</v>
      </c>
      <c r="D14" s="18"/>
      <c r="E14" s="18"/>
      <c r="F14" s="18"/>
      <c r="G14" s="18"/>
      <c r="H14" s="109" t="s">
        <v>268</v>
      </c>
    </row>
    <row r="15" spans="1:8" x14ac:dyDescent="0.35">
      <c r="A15" s="18"/>
      <c r="B15" s="18" t="s">
        <v>269</v>
      </c>
      <c r="C15" s="88">
        <f ca="1">'4 · Debt Schedule &amp; FCF'!G57</f>
        <v>1450.2650098868698</v>
      </c>
      <c r="D15" s="18"/>
      <c r="E15" s="18"/>
      <c r="F15" s="18"/>
      <c r="G15" s="18"/>
      <c r="H15" s="24" t="s">
        <v>270</v>
      </c>
    </row>
    <row r="16" spans="1:8" x14ac:dyDescent="0.35">
      <c r="A16" s="18"/>
      <c r="B16" s="79" t="s">
        <v>428</v>
      </c>
      <c r="C16" s="111">
        <f ca="1">C14-C15</f>
        <v>5409.4560077600399</v>
      </c>
      <c r="D16" s="18"/>
      <c r="E16" s="18"/>
      <c r="F16" s="18"/>
      <c r="G16" s="18"/>
      <c r="H16" s="109" t="s">
        <v>408</v>
      </c>
    </row>
    <row r="17" spans="1:8" x14ac:dyDescent="0.35">
      <c r="A17" s="18"/>
      <c r="B17" s="78" t="s">
        <v>429</v>
      </c>
      <c r="C17" s="85">
        <f ca="1">C76</f>
        <v>271.26672577600402</v>
      </c>
      <c r="D17" s="78"/>
      <c r="E17" s="78"/>
      <c r="F17" s="78"/>
      <c r="G17" s="78"/>
      <c r="H17" s="64" t="s">
        <v>409</v>
      </c>
    </row>
    <row r="18" spans="1:8" x14ac:dyDescent="0.35">
      <c r="A18" s="18"/>
      <c r="B18" s="79" t="s">
        <v>410</v>
      </c>
      <c r="C18" s="89">
        <f ca="1">C16-C17</f>
        <v>5138.1892819840359</v>
      </c>
      <c r="D18" s="78"/>
      <c r="E18" s="78"/>
      <c r="F18" s="78"/>
      <c r="G18" s="78"/>
      <c r="H18" s="64" t="s">
        <v>411</v>
      </c>
    </row>
    <row r="19" spans="1:8" x14ac:dyDescent="0.35">
      <c r="A19" s="18"/>
      <c r="B19" s="112" t="s">
        <v>412</v>
      </c>
      <c r="C19" s="113">
        <f ca="1">C18/C11</f>
        <v>1.9052991384601543</v>
      </c>
      <c r="D19" s="18"/>
      <c r="E19" s="18"/>
      <c r="F19" s="18"/>
      <c r="G19" s="18"/>
      <c r="H19" s="109" t="s">
        <v>413</v>
      </c>
    </row>
    <row r="20" spans="1:8" x14ac:dyDescent="0.35">
      <c r="A20" s="18"/>
      <c r="B20" s="121" t="str">
        <f>"IRR  —  sponsor net  ("&amp;TEXT($C$6,"0.00")&amp;"-year hold)"</f>
        <v>IRR  —  sponsor net  (4.05-year hold)</v>
      </c>
      <c r="C20" s="122">
        <f ca="1">C19^(1/C6)-1</f>
        <v>0.17269537284178704</v>
      </c>
      <c r="D20" s="56"/>
      <c r="E20" s="56"/>
      <c r="F20" s="56"/>
      <c r="G20" s="56"/>
      <c r="H20" s="123" t="str">
        <f ca="1">"= sponsor-net MOIC^(1 ÷ hold) − 1 — valid because there is a single entry and a single exit cash flow. The hold in C6 is a green link to the ACTUAL calendar hold of "&amp;TEXT($C$6,"0.00")&amp;" years, so this figure and the dated XIRR in section 8 ("&amp;TEXT($D$86,"0.0%")&amp;") are now the same number rather than "&amp;TEXT($C$19,"0.000")&amp;"^(1/5) versus "&amp;TEXT($C$19,"0.000")&amp;"^(1/"&amp;TEXT($C$6,"0.00")&amp;"). Gross IRR before the pool is in row 79; the pool drag is in row 80"</f>
        <v>= sponsor-net MOIC^(1 ÷ hold) − 1 — valid because there is a single entry and a single exit cash flow. The hold in C6 is a green link to the ACTUAL calendar hold of 4.05 years, so this figure and the dated XIRR in section 8 (17.3%) are now the same number rather than 1.905^(1/5) versus 1.905^(1/4.05). Gross IRR before the pool is in row 79; the pool drag is in row 80</v>
      </c>
    </row>
    <row r="21" spans="1:8" x14ac:dyDescent="0.35">
      <c r="A21" s="18"/>
      <c r="B21" s="18"/>
      <c r="C21" s="18"/>
      <c r="D21" s="18"/>
      <c r="E21" s="18"/>
      <c r="F21" s="18"/>
      <c r="G21" s="18"/>
      <c r="H21" s="18"/>
    </row>
    <row r="22" spans="1:8" x14ac:dyDescent="0.35">
      <c r="A22" s="18"/>
      <c r="B22" s="70" t="s">
        <v>331</v>
      </c>
      <c r="C22" s="71" t="s">
        <v>414</v>
      </c>
      <c r="D22" s="71" t="s">
        <v>415</v>
      </c>
      <c r="E22" s="71" t="s">
        <v>416</v>
      </c>
      <c r="F22" s="71" t="s">
        <v>417</v>
      </c>
      <c r="G22" s="71" t="s">
        <v>418</v>
      </c>
      <c r="H22" s="72" t="s">
        <v>96</v>
      </c>
    </row>
    <row r="23" spans="1:8" x14ac:dyDescent="0.35">
      <c r="A23" s="18"/>
      <c r="B23" s="90" t="s">
        <v>272</v>
      </c>
      <c r="C23" s="18"/>
      <c r="D23" s="18"/>
      <c r="E23" s="18"/>
      <c r="F23" s="18"/>
      <c r="G23" s="18"/>
      <c r="H23" s="24" t="s">
        <v>419</v>
      </c>
    </row>
    <row r="24" spans="1:8" x14ac:dyDescent="0.35">
      <c r="A24" s="18"/>
      <c r="B24" s="106">
        <v>9</v>
      </c>
      <c r="C24" s="114">
        <f ca="1">B24*$C$12-$C$15</f>
        <v>4062.0108078651119</v>
      </c>
      <c r="D24" s="85">
        <f ca="1">$C$71*MAX(C24-$C$73,0)</f>
        <v>136.52220578651122</v>
      </c>
      <c r="E24" s="85">
        <f ca="1">C24-D24</f>
        <v>3925.4886020786007</v>
      </c>
      <c r="F24" s="180">
        <f ca="1">E24/$C$11</f>
        <v>1.4556159069109886</v>
      </c>
      <c r="G24" s="68">
        <f ca="1">F24^(1/$C$6)-1</f>
        <v>9.7217027021501812E-2</v>
      </c>
      <c r="H24" s="18"/>
    </row>
    <row r="25" spans="1:8" x14ac:dyDescent="0.35">
      <c r="A25" s="18"/>
      <c r="B25" s="106">
        <v>9.5</v>
      </c>
      <c r="C25" s="114">
        <f t="shared" ref="C25:C33" ca="1" si="0">B25*$C$12-$C$15</f>
        <v>4368.2483532957776</v>
      </c>
      <c r="D25" s="85">
        <f t="shared" ref="D25:D33" ca="1" si="1">$C$71*MAX(C25-$C$73,0)</f>
        <v>167.1459603295778</v>
      </c>
      <c r="E25" s="85">
        <f t="shared" ref="E25:E33" ca="1" si="2">C25-D25</f>
        <v>4201.1023929661997</v>
      </c>
      <c r="F25" s="180">
        <f t="shared" ref="F25:F33" ca="1" si="3">E25/$C$11</f>
        <v>1.5578166413539807</v>
      </c>
      <c r="G25" s="68">
        <f t="shared" ref="G25:G33" ca="1" si="4">F25^(1/$C$6)-1</f>
        <v>0.115771149721557</v>
      </c>
      <c r="H25" s="18"/>
    </row>
    <row r="26" spans="1:8" x14ac:dyDescent="0.35">
      <c r="A26" s="18"/>
      <c r="B26" s="106">
        <v>10</v>
      </c>
      <c r="C26" s="114">
        <f t="shared" ca="1" si="0"/>
        <v>4674.4858987264433</v>
      </c>
      <c r="D26" s="85">
        <f t="shared" ca="1" si="1"/>
        <v>197.76971487264439</v>
      </c>
      <c r="E26" s="85">
        <f t="shared" ca="1" si="2"/>
        <v>4476.7161838537986</v>
      </c>
      <c r="F26" s="180">
        <f t="shared" ca="1" si="3"/>
        <v>1.6600173757969729</v>
      </c>
      <c r="G26" s="68">
        <f t="shared" ca="1" si="4"/>
        <v>0.13343023730962367</v>
      </c>
      <c r="H26" s="18"/>
    </row>
    <row r="27" spans="1:8" x14ac:dyDescent="0.35">
      <c r="A27" s="18"/>
      <c r="B27" s="106">
        <v>10.5</v>
      </c>
      <c r="C27" s="114">
        <f t="shared" ca="1" si="0"/>
        <v>4980.723444157109</v>
      </c>
      <c r="D27" s="85">
        <f t="shared" ca="1" si="1"/>
        <v>228.39346941571094</v>
      </c>
      <c r="E27" s="85">
        <f t="shared" ca="1" si="2"/>
        <v>4752.3299747413985</v>
      </c>
      <c r="F27" s="180">
        <f t="shared" ca="1" si="3"/>
        <v>1.7622181102399657</v>
      </c>
      <c r="G27" s="68">
        <f t="shared" ca="1" si="4"/>
        <v>0.15028879573184684</v>
      </c>
      <c r="H27" s="18"/>
    </row>
    <row r="28" spans="1:8" x14ac:dyDescent="0.35">
      <c r="A28" s="18"/>
      <c r="B28" s="118">
        <v>11</v>
      </c>
      <c r="C28" s="119">
        <f t="shared" ca="1" si="0"/>
        <v>5286.9609895877747</v>
      </c>
      <c r="D28" s="185">
        <f t="shared" ca="1" si="1"/>
        <v>259.01722395877749</v>
      </c>
      <c r="E28" s="185">
        <f t="shared" ca="1" si="2"/>
        <v>5027.9437656289974</v>
      </c>
      <c r="F28" s="186">
        <f t="shared" ca="1" si="3"/>
        <v>1.8644188446829579</v>
      </c>
      <c r="G28" s="187">
        <f t="shared" ca="1" si="4"/>
        <v>0.16642654476031238</v>
      </c>
      <c r="H28" s="18"/>
    </row>
    <row r="29" spans="1:8" x14ac:dyDescent="0.35">
      <c r="A29" s="18"/>
      <c r="B29" s="118">
        <v>11.5</v>
      </c>
      <c r="C29" s="119">
        <f t="shared" ca="1" si="0"/>
        <v>5593.1985350184405</v>
      </c>
      <c r="D29" s="185">
        <f t="shared" ca="1" si="1"/>
        <v>289.64097850184407</v>
      </c>
      <c r="E29" s="185">
        <f t="shared" ca="1" si="2"/>
        <v>5303.5575565165964</v>
      </c>
      <c r="F29" s="186">
        <f t="shared" ca="1" si="3"/>
        <v>1.96661957912595</v>
      </c>
      <c r="G29" s="187">
        <f t="shared" ca="1" si="4"/>
        <v>0.18191140305477771</v>
      </c>
      <c r="H29" s="18"/>
    </row>
    <row r="30" spans="1:8" x14ac:dyDescent="0.35">
      <c r="A30" s="18"/>
      <c r="B30" s="106">
        <v>12</v>
      </c>
      <c r="C30" s="114">
        <f t="shared" ca="1" si="0"/>
        <v>5899.4360804491052</v>
      </c>
      <c r="D30" s="85">
        <f t="shared" ca="1" si="1"/>
        <v>320.2647330449106</v>
      </c>
      <c r="E30" s="85">
        <f t="shared" ca="1" si="2"/>
        <v>5579.1713474041944</v>
      </c>
      <c r="F30" s="180">
        <f t="shared" ca="1" si="3"/>
        <v>2.068820313568942</v>
      </c>
      <c r="G30" s="68">
        <f t="shared" ca="1" si="4"/>
        <v>0.19680174878095014</v>
      </c>
      <c r="H30" s="18"/>
    </row>
    <row r="31" spans="1:8" x14ac:dyDescent="0.35">
      <c r="A31" s="18"/>
      <c r="B31" s="106">
        <v>12.5</v>
      </c>
      <c r="C31" s="114">
        <f t="shared" ca="1" si="0"/>
        <v>6205.673625879771</v>
      </c>
      <c r="D31" s="85">
        <f t="shared" ca="1" si="1"/>
        <v>350.88848758797712</v>
      </c>
      <c r="E31" s="85">
        <f t="shared" ca="1" si="2"/>
        <v>5854.7851382917943</v>
      </c>
      <c r="F31" s="180">
        <f t="shared" ca="1" si="3"/>
        <v>2.1710210480119345</v>
      </c>
      <c r="G31" s="68">
        <f t="shared" ca="1" si="4"/>
        <v>0.21114815830250389</v>
      </c>
      <c r="H31" s="18"/>
    </row>
    <row r="32" spans="1:8" x14ac:dyDescent="0.35">
      <c r="A32" s="18"/>
      <c r="B32" s="106">
        <v>13</v>
      </c>
      <c r="C32" s="114">
        <f t="shared" ca="1" si="0"/>
        <v>6511.9111713104367</v>
      </c>
      <c r="D32" s="85">
        <f t="shared" ca="1" si="1"/>
        <v>381.51224213104371</v>
      </c>
      <c r="E32" s="85">
        <f t="shared" ca="1" si="2"/>
        <v>6130.3989291793932</v>
      </c>
      <c r="F32" s="180">
        <f t="shared" ca="1" si="3"/>
        <v>2.2732217824549266</v>
      </c>
      <c r="G32" s="68">
        <f t="shared" ca="1" si="4"/>
        <v>0.22499476207525704</v>
      </c>
      <c r="H32" s="18"/>
    </row>
    <row r="33" spans="1:8" x14ac:dyDescent="0.35">
      <c r="A33" s="18"/>
      <c r="B33" s="124">
        <v>13.5</v>
      </c>
      <c r="C33" s="125">
        <f t="shared" ca="1" si="0"/>
        <v>6818.1487167411024</v>
      </c>
      <c r="D33" s="85">
        <f t="shared" ca="1" si="1"/>
        <v>412.13599667411029</v>
      </c>
      <c r="E33" s="85">
        <f t="shared" ca="1" si="2"/>
        <v>6406.0127200669922</v>
      </c>
      <c r="F33" s="180">
        <f t="shared" ca="1" si="3"/>
        <v>2.3754225168979191</v>
      </c>
      <c r="G33" s="68">
        <f t="shared" ca="1" si="4"/>
        <v>0.23838031525759673</v>
      </c>
      <c r="H33" s="56"/>
    </row>
    <row r="34" spans="1:8" x14ac:dyDescent="0.35">
      <c r="A34" s="18"/>
      <c r="B34" s="18"/>
      <c r="C34" s="18"/>
      <c r="D34" s="18"/>
      <c r="E34" s="18"/>
      <c r="F34" s="18"/>
      <c r="G34" s="18"/>
      <c r="H34" s="18"/>
    </row>
    <row r="35" spans="1:8" x14ac:dyDescent="0.35">
      <c r="A35" s="18"/>
      <c r="B35" s="70" t="s">
        <v>351</v>
      </c>
      <c r="C35" s="127"/>
      <c r="D35" s="127"/>
      <c r="E35" s="127"/>
      <c r="F35" s="127"/>
      <c r="G35" s="127"/>
      <c r="H35" s="72" t="s">
        <v>96</v>
      </c>
    </row>
    <row r="36" spans="1:8" x14ac:dyDescent="0.35">
      <c r="A36" s="18"/>
      <c r="B36" s="90" t="s">
        <v>273</v>
      </c>
      <c r="C36" s="116">
        <v>-0.1</v>
      </c>
      <c r="D36" s="116">
        <v>-0.05</v>
      </c>
      <c r="E36" s="116">
        <v>0</v>
      </c>
      <c r="F36" s="116">
        <v>0.05</v>
      </c>
      <c r="G36" s="116">
        <v>0.1</v>
      </c>
      <c r="H36" s="24" t="s">
        <v>422</v>
      </c>
    </row>
    <row r="37" spans="1:8" x14ac:dyDescent="0.35">
      <c r="A37" s="18"/>
      <c r="B37" s="90" t="s">
        <v>274</v>
      </c>
      <c r="C37" s="117">
        <f>$C$12*(1+C36)</f>
        <v>551.22758177519813</v>
      </c>
      <c r="D37" s="117">
        <f t="shared" ref="D37:G37" si="5">$C$12*(1+D36)</f>
        <v>581.85133631826466</v>
      </c>
      <c r="E37" s="117">
        <f t="shared" si="5"/>
        <v>612.4750908613313</v>
      </c>
      <c r="F37" s="117">
        <f t="shared" si="5"/>
        <v>643.09884540439793</v>
      </c>
      <c r="G37" s="117">
        <f t="shared" si="5"/>
        <v>673.72259994746446</v>
      </c>
      <c r="H37" s="109" t="s">
        <v>423</v>
      </c>
    </row>
    <row r="38" spans="1:8" x14ac:dyDescent="0.35">
      <c r="A38" s="18"/>
      <c r="B38" s="106">
        <v>9.1999999999999993</v>
      </c>
      <c r="C38" s="115">
        <f ca="1">((($B38*C$37-C$67)-$C$71*MAX(($B38*C$37-C$67)-$C$73,0))/$C$11)^(1/$C$6)-1</f>
        <v>6.7390977317866696E-2</v>
      </c>
      <c r="D38" s="115">
        <f t="shared" ref="D38:G46" ca="1" si="6">((($B38*D$37-D$67)-$C$71*MAX(($B38*D$37-D$67)-$C$73,0))/$C$11)^(1/$C$6)-1</f>
        <v>8.656107026280635E-2</v>
      </c>
      <c r="E38" s="115">
        <f t="shared" ca="1" si="6"/>
        <v>0.1047528549434964</v>
      </c>
      <c r="F38" s="115">
        <f t="shared" ca="1" si="6"/>
        <v>0.12207523763131278</v>
      </c>
      <c r="G38" s="115">
        <f t="shared" ca="1" si="6"/>
        <v>0.13861921501438679</v>
      </c>
      <c r="H38" s="24" t="s">
        <v>424</v>
      </c>
    </row>
    <row r="39" spans="1:8" x14ac:dyDescent="0.35">
      <c r="A39" s="18"/>
      <c r="B39" s="106">
        <v>9.6999999999999993</v>
      </c>
      <c r="C39" s="115">
        <f t="shared" ref="C39:C46" ca="1" si="7">((($B39*C$37-C$67)-$C$71*MAX(($B39*C$37-C$67)-$C$73,0))/$C$11)^(1/$C$6)-1</f>
        <v>8.5549487429047444E-2</v>
      </c>
      <c r="D39" s="115">
        <f t="shared" ca="1" si="6"/>
        <v>0.10472476838686662</v>
      </c>
      <c r="E39" s="115">
        <f t="shared" ca="1" si="6"/>
        <v>0.12293652438733038</v>
      </c>
      <c r="F39" s="115">
        <f t="shared" ca="1" si="6"/>
        <v>0.1402904685333366</v>
      </c>
      <c r="G39" s="115">
        <f t="shared" ca="1" si="6"/>
        <v>0.15687516566669335</v>
      </c>
      <c r="H39" s="18"/>
    </row>
    <row r="40" spans="1:8" x14ac:dyDescent="0.35">
      <c r="A40" s="18"/>
      <c r="B40" s="106">
        <v>10.199999999999999</v>
      </c>
      <c r="C40" s="115">
        <f t="shared" ca="1" si="7"/>
        <v>0.10282710445355248</v>
      </c>
      <c r="D40" s="115">
        <f t="shared" ca="1" si="6"/>
        <v>0.12202166314417484</v>
      </c>
      <c r="E40" s="115">
        <f t="shared" ca="1" si="6"/>
        <v>0.14026496472926087</v>
      </c>
      <c r="F40" s="115">
        <f t="shared" ca="1" si="6"/>
        <v>0.15766003141904283</v>
      </c>
      <c r="G40" s="115">
        <f t="shared" ca="1" si="6"/>
        <v>0.1742933766336332</v>
      </c>
      <c r="H40" s="18"/>
    </row>
    <row r="41" spans="1:8" x14ac:dyDescent="0.35">
      <c r="A41" s="18"/>
      <c r="B41" s="106">
        <v>10.7</v>
      </c>
      <c r="C41" s="115">
        <f t="shared" ca="1" si="7"/>
        <v>0.11931733446624837</v>
      </c>
      <c r="D41" s="115">
        <f t="shared" ca="1" si="6"/>
        <v>0.13854235566514772</v>
      </c>
      <c r="E41" s="115">
        <f t="shared" ca="1" si="6"/>
        <v>0.15682635182479077</v>
      </c>
      <c r="F41" s="115">
        <f t="shared" ca="1" si="6"/>
        <v>0.17427005679184582</v>
      </c>
      <c r="G41" s="115">
        <f t="shared" ca="1" si="6"/>
        <v>0.19095823861833217</v>
      </c>
      <c r="H41" s="18"/>
    </row>
    <row r="42" spans="1:8" x14ac:dyDescent="0.35">
      <c r="A42" s="18"/>
      <c r="B42" s="106">
        <v>11.2</v>
      </c>
      <c r="C42" s="115">
        <f t="shared" ca="1" si="7"/>
        <v>0.13509898058576919</v>
      </c>
      <c r="D42" s="115">
        <f t="shared" ca="1" si="6"/>
        <v>0.1543634069659221</v>
      </c>
      <c r="E42" s="173">
        <f t="shared" ca="1" si="6"/>
        <v>0.17269537284178704</v>
      </c>
      <c r="F42" s="115">
        <f t="shared" ca="1" si="6"/>
        <v>0.19019365077736072</v>
      </c>
      <c r="G42" s="115">
        <f t="shared" ca="1" si="6"/>
        <v>0.20694151297630725</v>
      </c>
      <c r="H42" s="18"/>
    </row>
    <row r="43" spans="1:8" x14ac:dyDescent="0.35">
      <c r="A43" s="18"/>
      <c r="B43" s="106">
        <v>11.7</v>
      </c>
      <c r="C43" s="115">
        <f t="shared" ca="1" si="7"/>
        <v>0.15023912529754213</v>
      </c>
      <c r="D43" s="115">
        <f t="shared" ca="1" si="6"/>
        <v>0.16955014680028602</v>
      </c>
      <c r="E43" s="115">
        <f t="shared" ca="1" si="6"/>
        <v>0.18793589192397242</v>
      </c>
      <c r="F43" s="115">
        <f t="shared" ca="1" si="6"/>
        <v>0.20549344097292721</v>
      </c>
      <c r="G43" s="115">
        <f t="shared" ca="1" si="6"/>
        <v>0.22230477612783539</v>
      </c>
      <c r="H43" s="18"/>
    </row>
    <row r="44" spans="1:8" x14ac:dyDescent="0.35">
      <c r="A44" s="18"/>
      <c r="B44" s="106">
        <v>12.2</v>
      </c>
      <c r="C44" s="115">
        <f t="shared" ca="1" si="7"/>
        <v>0.16479538574333552</v>
      </c>
      <c r="D44" s="115">
        <f t="shared" ca="1" si="6"/>
        <v>0.18415880667928386</v>
      </c>
      <c r="E44" s="115">
        <f t="shared" ca="1" si="6"/>
        <v>0.20260298189998682</v>
      </c>
      <c r="F44" s="115">
        <f t="shared" ca="1" si="6"/>
        <v>0.2202235231132359</v>
      </c>
      <c r="G44" s="115">
        <f t="shared" ca="1" si="6"/>
        <v>0.23710129403095959</v>
      </c>
      <c r="H44" s="18"/>
    </row>
    <row r="45" spans="1:8" x14ac:dyDescent="0.35">
      <c r="A45" s="18"/>
      <c r="B45" s="106">
        <v>12.7</v>
      </c>
      <c r="C45" s="115">
        <f t="shared" ca="1" si="7"/>
        <v>0.1788176460883264</v>
      </c>
      <c r="D45" s="115">
        <f t="shared" ca="1" si="6"/>
        <v>0.19823816444339637</v>
      </c>
      <c r="E45" s="115">
        <f t="shared" ca="1" si="6"/>
        <v>0.21674449587267208</v>
      </c>
      <c r="F45" s="115">
        <f t="shared" ca="1" si="6"/>
        <v>0.23443097122889434</v>
      </c>
      <c r="G45" s="115">
        <f t="shared" ca="1" si="6"/>
        <v>0.25137748007459226</v>
      </c>
      <c r="H45" s="18"/>
    </row>
    <row r="46" spans="1:8" x14ac:dyDescent="0.35">
      <c r="A46" s="18"/>
      <c r="B46" s="124">
        <v>13.2</v>
      </c>
      <c r="C46" s="126">
        <f t="shared" ca="1" si="7"/>
        <v>0.19234940692824343</v>
      </c>
      <c r="D46" s="126">
        <f t="shared" ca="1" si="6"/>
        <v>0.21183082957713029</v>
      </c>
      <c r="E46" s="126">
        <f t="shared" ca="1" si="6"/>
        <v>0.23040229910505672</v>
      </c>
      <c r="F46" s="126">
        <f t="shared" ca="1" si="6"/>
        <v>0.24815702445721177</v>
      </c>
      <c r="G46" s="126">
        <f t="shared" ca="1" si="6"/>
        <v>0.26517404346694629</v>
      </c>
      <c r="H46" s="56"/>
    </row>
    <row r="47" spans="1:8" x14ac:dyDescent="0.35">
      <c r="A47" s="18"/>
      <c r="B47" s="174" t="s">
        <v>420</v>
      </c>
      <c r="C47" s="175">
        <f ca="1">E42-$C$20</f>
        <v>0</v>
      </c>
      <c r="D47" s="18"/>
      <c r="E47" s="18"/>
      <c r="F47" s="18"/>
      <c r="G47" s="18"/>
      <c r="H47" s="52" t="s">
        <v>421</v>
      </c>
    </row>
    <row r="48" spans="1:8" x14ac:dyDescent="0.35">
      <c r="A48" s="18"/>
      <c r="B48" s="24" t="s">
        <v>427</v>
      </c>
      <c r="C48" s="18"/>
      <c r="D48" s="18"/>
      <c r="E48" s="18"/>
      <c r="F48" s="18"/>
      <c r="G48" s="18"/>
      <c r="H48" s="18"/>
    </row>
    <row r="49" spans="1:8" x14ac:dyDescent="0.35">
      <c r="A49" s="18"/>
      <c r="B49" s="18"/>
      <c r="C49" s="18"/>
      <c r="D49" s="18"/>
      <c r="E49" s="18"/>
      <c r="F49" s="18"/>
      <c r="G49" s="18"/>
      <c r="H49" s="18"/>
    </row>
    <row r="50" spans="1:8" x14ac:dyDescent="0.35">
      <c r="A50" s="18"/>
      <c r="B50" s="70" t="s">
        <v>275</v>
      </c>
      <c r="C50" s="71" t="s">
        <v>430</v>
      </c>
      <c r="D50" s="71" t="s">
        <v>431</v>
      </c>
      <c r="E50" s="71" t="s">
        <v>276</v>
      </c>
      <c r="F50" s="71" t="s">
        <v>277</v>
      </c>
      <c r="G50" s="127"/>
      <c r="H50" s="72" t="s">
        <v>96</v>
      </c>
    </row>
    <row r="51" spans="1:8" x14ac:dyDescent="0.35">
      <c r="A51" s="18"/>
      <c r="B51" s="90" t="str">
        <f>"Target IRR  over the "&amp;TEXT($C$6,"0.00")&amp;"-year hold"</f>
        <v>Target IRR  over the 4.05-year hold</v>
      </c>
      <c r="C51" s="18"/>
      <c r="D51" s="18"/>
      <c r="E51" s="18"/>
      <c r="F51" s="18"/>
      <c r="G51" s="18"/>
      <c r="H51" s="52" t="s">
        <v>483</v>
      </c>
    </row>
    <row r="52" spans="1:8" x14ac:dyDescent="0.35">
      <c r="A52" s="18"/>
      <c r="B52" s="54">
        <v>0.15</v>
      </c>
      <c r="C52" s="114">
        <f>$C$11*(1+B52)^$C$6</f>
        <v>4747.5037004134801</v>
      </c>
      <c r="D52" s="85">
        <f>IF(C52&lt;=$C$73,C52,IF($C$71&gt;=1,NA(),(C52-$C$71*$C$73)/(1-$C$71)))</f>
        <v>4975.3609171260896</v>
      </c>
      <c r="E52" s="85">
        <f ca="1">D52+$C$15</f>
        <v>6425.6259270129594</v>
      </c>
      <c r="F52" s="93">
        <f ca="1">E52/$C$12</f>
        <v>10.491244497758304</v>
      </c>
      <c r="G52" s="18"/>
      <c r="H52" s="18"/>
    </row>
    <row r="53" spans="1:8" x14ac:dyDescent="0.35">
      <c r="A53" s="18"/>
      <c r="B53" s="54">
        <v>0.2</v>
      </c>
      <c r="C53" s="114">
        <f t="shared" ref="C53:C54" si="8">$C$11*(1+B53)^$C$6</f>
        <v>5639.7493861369603</v>
      </c>
      <c r="D53" s="85">
        <f t="shared" ref="D53:D54" si="9">IF(C53&lt;=$C$73,C53,IF($C$71&gt;=1,NA(),(C53-$C$71*$C$73)/(1-$C$71)))</f>
        <v>5966.7450123744011</v>
      </c>
      <c r="E53" s="85">
        <f t="shared" ref="E53:E54" ca="1" si="10">D53+$C$15</f>
        <v>7417.0100222612709</v>
      </c>
      <c r="F53" s="93">
        <f t="shared" ref="F53:F54" ca="1" si="11">E53/$C$12</f>
        <v>12.109896603028604</v>
      </c>
      <c r="G53" s="18"/>
      <c r="H53" s="18"/>
    </row>
    <row r="54" spans="1:8" x14ac:dyDescent="0.35">
      <c r="A54" s="18"/>
      <c r="B54" s="7">
        <v>0.25</v>
      </c>
      <c r="C54" s="125">
        <f t="shared" si="8"/>
        <v>6652.7407052880644</v>
      </c>
      <c r="D54" s="85">
        <f t="shared" si="9"/>
        <v>7092.2909225422936</v>
      </c>
      <c r="E54" s="85">
        <f t="shared" ca="1" si="10"/>
        <v>8542.5559324291644</v>
      </c>
      <c r="F54" s="93">
        <f t="shared" ca="1" si="11"/>
        <v>13.947597314391452</v>
      </c>
      <c r="G54" s="56"/>
      <c r="H54" s="56"/>
    </row>
    <row r="55" spans="1:8" x14ac:dyDescent="0.35">
      <c r="A55" s="18"/>
      <c r="B55" s="196" t="s">
        <v>481</v>
      </c>
      <c r="C55" s="197">
        <f>$C$11</f>
        <v>2696.7887499999997</v>
      </c>
      <c r="D55" s="197">
        <f>IF(C55&lt;=$C$73,C55,IF($C$71&gt;=1,NA(),(C55-$C$71*$C$73)/(1-$C$71)))</f>
        <v>2696.7887499999997</v>
      </c>
      <c r="E55" s="197">
        <f ca="1">D55+$C$15</f>
        <v>4147.0537598868696</v>
      </c>
      <c r="F55" s="198">
        <f ca="1">E55/$C$12</f>
        <v>6.7709753780432385</v>
      </c>
      <c r="G55" s="56"/>
      <c r="H55" s="67" t="s">
        <v>482</v>
      </c>
    </row>
    <row r="56" spans="1:8" x14ac:dyDescent="0.35">
      <c r="A56" s="18"/>
      <c r="B56" s="24" t="str">
        <f>"Read-through:  at the "&amp;'3 · Operating Model'!$C$7&amp;" case FY2030E Adj. EBITDA of "&amp;TEXT($C$12,"$#,##0.0")&amp;"M and that case's net-debt paydown, and after the "&amp;TEXT($C$71,"0.0%")&amp;" management pool, New Mountain must underwrite the exit multiple shown in column F to clear each hurdle — versus the "&amp;TEXT($C$8,"0.0")&amp;"x entry multiple."</f>
        <v>Read-through:  at the Base case FY2030E Adj. EBITDA of $612.5M and that case's net-debt paydown, and after the 10.0% management pool, New Mountain must underwrite the exit multiple shown in column F to clear each hurdle — versus the 11.2x entry multiple.</v>
      </c>
      <c r="C56" s="18"/>
      <c r="D56" s="18"/>
      <c r="E56" s="18"/>
      <c r="F56" s="18"/>
      <c r="G56" s="18"/>
      <c r="H56" s="18"/>
    </row>
    <row r="57" spans="1:8" x14ac:dyDescent="0.35">
      <c r="A57" s="18"/>
      <c r="B57" s="18"/>
      <c r="C57" s="18"/>
      <c r="D57" s="18"/>
      <c r="E57" s="18"/>
      <c r="F57" s="18"/>
      <c r="G57" s="18"/>
      <c r="H57" s="18"/>
    </row>
    <row r="58" spans="1:8" x14ac:dyDescent="0.35">
      <c r="A58" s="18"/>
      <c r="B58" s="160" t="s">
        <v>342</v>
      </c>
      <c r="C58" s="56"/>
      <c r="D58" s="56"/>
      <c r="E58" s="56"/>
      <c r="F58" s="56"/>
      <c r="G58" s="56"/>
      <c r="H58" s="72" t="s">
        <v>96</v>
      </c>
    </row>
    <row r="59" spans="1:8" x14ac:dyDescent="0.35">
      <c r="A59" s="18"/>
      <c r="B59" s="158" t="s">
        <v>343</v>
      </c>
      <c r="C59" s="170">
        <f>C$36</f>
        <v>-0.1</v>
      </c>
      <c r="D59" s="170">
        <f>D$36</f>
        <v>-0.05</v>
      </c>
      <c r="E59" s="170">
        <f>E$36</f>
        <v>0</v>
      </c>
      <c r="F59" s="170">
        <f>F$36</f>
        <v>0.05</v>
      </c>
      <c r="G59" s="170">
        <f>G$36</f>
        <v>0.1</v>
      </c>
      <c r="H59" s="52" t="s">
        <v>425</v>
      </c>
    </row>
    <row r="60" spans="1:8" x14ac:dyDescent="0.35">
      <c r="A60" s="18"/>
      <c r="B60" s="53" t="s">
        <v>344</v>
      </c>
      <c r="C60" s="61">
        <f>C$37</f>
        <v>551.22758177519813</v>
      </c>
      <c r="D60" s="61">
        <f>D$37</f>
        <v>581.85133631826466</v>
      </c>
      <c r="E60" s="61">
        <f>E$37</f>
        <v>612.4750908613313</v>
      </c>
      <c r="F60" s="61">
        <f>F$37</f>
        <v>643.09884540439793</v>
      </c>
      <c r="G60" s="61">
        <f>G$37</f>
        <v>673.72259994746446</v>
      </c>
      <c r="H60" s="64" t="s">
        <v>426</v>
      </c>
    </row>
    <row r="61" spans="1:8" x14ac:dyDescent="0.35">
      <c r="A61" s="18"/>
      <c r="B61" s="53" t="s">
        <v>198</v>
      </c>
      <c r="C61" s="60">
        <f>'4 · Debt Schedule &amp; FCF'!$C$16</f>
        <v>2457.9499999999998</v>
      </c>
      <c r="D61" s="60">
        <f>'4 · Debt Schedule &amp; FCF'!$C$16</f>
        <v>2457.9499999999998</v>
      </c>
      <c r="E61" s="60">
        <f>'4 · Debt Schedule &amp; FCF'!$C$16</f>
        <v>2457.9499999999998</v>
      </c>
      <c r="F61" s="60">
        <f>'4 · Debt Schedule &amp; FCF'!$C$16</f>
        <v>2457.9499999999998</v>
      </c>
      <c r="G61" s="60">
        <f>'4 · Debt Schedule &amp; FCF'!$C$16</f>
        <v>2457.9499999999998</v>
      </c>
      <c r="H61" s="52" t="s">
        <v>352</v>
      </c>
    </row>
    <row r="62" spans="1:8" x14ac:dyDescent="0.35">
      <c r="A62" s="18"/>
      <c r="B62" s="53" t="s">
        <v>345</v>
      </c>
      <c r="C62" s="60">
        <f ca="1">SUM('4 · Debt Schedule &amp; FCF'!$C$39:$G$39)</f>
        <v>99.395457534246574</v>
      </c>
      <c r="D62" s="60">
        <f ca="1">SUM('4 · Debt Schedule &amp; FCF'!$C$39:$G$39)</f>
        <v>99.395457534246574</v>
      </c>
      <c r="E62" s="60">
        <f ca="1">SUM('4 · Debt Schedule &amp; FCF'!$C$39:$G$39)</f>
        <v>99.395457534246574</v>
      </c>
      <c r="F62" s="60">
        <f ca="1">SUM('4 · Debt Schedule &amp; FCF'!$C$39:$G$39)</f>
        <v>99.395457534246574</v>
      </c>
      <c r="G62" s="60">
        <f ca="1">SUM('4 · Debt Schedule &amp; FCF'!$C$39:$G$39)</f>
        <v>99.395457534246574</v>
      </c>
      <c r="H62" s="52" t="s">
        <v>353</v>
      </c>
    </row>
    <row r="63" spans="1:8" x14ac:dyDescent="0.35">
      <c r="A63" s="18"/>
      <c r="B63" s="158" t="s">
        <v>346</v>
      </c>
      <c r="C63" s="117">
        <f ca="1">SUM('4 · Debt Schedule &amp; FCF'!$C$40:$G$40)</f>
        <v>192.96854340861427</v>
      </c>
      <c r="D63" s="117">
        <f ca="1">SUM('4 · Debt Schedule &amp; FCF'!$C$40:$G$40)</f>
        <v>192.96854340861427</v>
      </c>
      <c r="E63" s="117">
        <f ca="1">SUM('4 · Debt Schedule &amp; FCF'!$C$40:$G$40)</f>
        <v>192.96854340861427</v>
      </c>
      <c r="F63" s="117">
        <f ca="1">SUM('4 · Debt Schedule &amp; FCF'!$C$40:$G$40)</f>
        <v>192.96854340861427</v>
      </c>
      <c r="G63" s="117">
        <f ca="1">SUM('4 · Debt Schedule &amp; FCF'!$C$40:$G$40)</f>
        <v>192.96854340861427</v>
      </c>
      <c r="H63" s="52" t="s">
        <v>354</v>
      </c>
    </row>
    <row r="64" spans="1:8" x14ac:dyDescent="0.35">
      <c r="A64" s="18"/>
      <c r="B64" s="53" t="s">
        <v>347</v>
      </c>
      <c r="C64" s="61">
        <f ca="1">MIN(MAX(C63*(1+C$36),0),C61-C62)</f>
        <v>173.67168906775285</v>
      </c>
      <c r="D64" s="61">
        <f ca="1">MIN(MAX(D63*(1+D$36),0),D61-D62)</f>
        <v>183.32011623818354</v>
      </c>
      <c r="E64" s="61">
        <f ca="1">MIN(MAX(E63*(1+E$36),0),E61-E62)</f>
        <v>192.96854340861427</v>
      </c>
      <c r="F64" s="61">
        <f ca="1">MIN(MAX(F63*(1+F$36),0),F61-F62)</f>
        <v>202.61697057904499</v>
      </c>
      <c r="G64" s="61">
        <f ca="1">MIN(MAX(G63*(1+G$36),0),G61-G62)</f>
        <v>212.26539774947571</v>
      </c>
      <c r="H64" s="64" t="s">
        <v>355</v>
      </c>
    </row>
    <row r="65" spans="1:8" x14ac:dyDescent="0.35">
      <c r="A65" s="18"/>
      <c r="B65" s="169" t="s">
        <v>348</v>
      </c>
      <c r="C65" s="61">
        <f ca="1">MAX(C61-C62-C64,0)</f>
        <v>2184.8828533980004</v>
      </c>
      <c r="D65" s="61">
        <f ca="1">MAX(D61-D62-D64,0)</f>
        <v>2175.2344262275701</v>
      </c>
      <c r="E65" s="61">
        <f ca="1">MAX(E61-E62-E64,0)</f>
        <v>2165.5859990571394</v>
      </c>
      <c r="F65" s="61">
        <f ca="1">MAX(F61-F62-F64,0)</f>
        <v>2155.9375718867086</v>
      </c>
      <c r="G65" s="61">
        <f ca="1">MAX(G61-G62-G64,0)</f>
        <v>2146.2891447162779</v>
      </c>
      <c r="H65" s="64" t="s">
        <v>356</v>
      </c>
    </row>
    <row r="66" spans="1:8" x14ac:dyDescent="0.35">
      <c r="A66" s="18"/>
      <c r="B66" s="53" t="s">
        <v>540</v>
      </c>
      <c r="C66" s="60">
        <f ca="1">'4 · Debt Schedule &amp; FCF'!$G$56</f>
        <v>715.32098917026951</v>
      </c>
      <c r="D66" s="60">
        <f ca="1">'4 · Debt Schedule &amp; FCF'!$G$56</f>
        <v>715.32098917026951</v>
      </c>
      <c r="E66" s="60">
        <f ca="1">'4 · Debt Schedule &amp; FCF'!$G$56</f>
        <v>715.32098917026951</v>
      </c>
      <c r="F66" s="60">
        <f ca="1">'4 · Debt Schedule &amp; FCF'!$G$56</f>
        <v>715.32098917026951</v>
      </c>
      <c r="G66" s="60">
        <f ca="1">'4 · Debt Schedule &amp; FCF'!$G$56</f>
        <v>715.32098917026951</v>
      </c>
      <c r="H66" s="52" t="s">
        <v>620</v>
      </c>
    </row>
    <row r="67" spans="1:8" x14ac:dyDescent="0.35">
      <c r="A67" s="18"/>
      <c r="B67" s="171" t="s">
        <v>349</v>
      </c>
      <c r="C67" s="172">
        <f ca="1">C65-C66</f>
        <v>1469.5618642277309</v>
      </c>
      <c r="D67" s="172">
        <f ca="1">D65-D66</f>
        <v>1459.9134370573006</v>
      </c>
      <c r="E67" s="172">
        <f ca="1">E65-E66</f>
        <v>1450.2650098868698</v>
      </c>
      <c r="F67" s="172">
        <f ca="1">F65-F66</f>
        <v>1440.6165827164391</v>
      </c>
      <c r="G67" s="172">
        <f ca="1">G65-G66</f>
        <v>1430.9681555460083</v>
      </c>
      <c r="H67" s="105" t="s">
        <v>357</v>
      </c>
    </row>
    <row r="68" spans="1:8" x14ac:dyDescent="0.35">
      <c r="A68" s="18"/>
      <c r="B68" s="158" t="s">
        <v>350</v>
      </c>
      <c r="C68" s="117">
        <f ca="1">C67-'4 · Debt Schedule &amp; FCF'!$G$57</f>
        <v>19.296854340861046</v>
      </c>
      <c r="D68" s="117">
        <f ca="1">D67-'4 · Debt Schedule &amp; FCF'!$G$57</f>
        <v>9.6484271704307503</v>
      </c>
      <c r="E68" s="117">
        <f ca="1">E67-'4 · Debt Schedule &amp; FCF'!$G$57</f>
        <v>0</v>
      </c>
      <c r="F68" s="117">
        <f ca="1">F67-'4 · Debt Schedule &amp; FCF'!$G$57</f>
        <v>-9.6484271704307503</v>
      </c>
      <c r="G68" s="117">
        <f ca="1">G67-'4 · Debt Schedule &amp; FCF'!$G$57</f>
        <v>-19.296854340861501</v>
      </c>
      <c r="H68" s="52" t="s">
        <v>358</v>
      </c>
    </row>
    <row r="69" spans="1:8" x14ac:dyDescent="0.35">
      <c r="A69" s="18"/>
      <c r="B69" s="18"/>
      <c r="C69" s="18"/>
      <c r="D69" s="18"/>
      <c r="E69" s="18"/>
      <c r="F69" s="18"/>
      <c r="G69" s="18"/>
      <c r="H69" s="18"/>
    </row>
    <row r="70" spans="1:8" x14ac:dyDescent="0.35">
      <c r="A70" s="18"/>
      <c r="B70" s="20" t="s">
        <v>388</v>
      </c>
      <c r="C70" s="97" t="s">
        <v>4</v>
      </c>
      <c r="D70" s="181"/>
      <c r="E70" s="181"/>
      <c r="F70" s="181"/>
      <c r="G70" s="181"/>
      <c r="H70" s="98" t="s">
        <v>96</v>
      </c>
    </row>
    <row r="71" spans="1:8" x14ac:dyDescent="0.35">
      <c r="A71" s="18"/>
      <c r="B71" s="99" t="s">
        <v>432</v>
      </c>
      <c r="C71" s="100">
        <v>0.1</v>
      </c>
      <c r="D71" s="182"/>
      <c r="E71" s="182"/>
      <c r="F71" s="182"/>
      <c r="G71" s="182"/>
      <c r="H71" s="102" t="s">
        <v>389</v>
      </c>
    </row>
    <row r="72" spans="1:8" x14ac:dyDescent="0.35">
      <c r="A72" s="18"/>
      <c r="B72" s="53" t="s">
        <v>390</v>
      </c>
      <c r="C72" s="54">
        <v>1</v>
      </c>
      <c r="D72" s="18"/>
      <c r="E72" s="18"/>
      <c r="F72" s="18"/>
      <c r="G72" s="18"/>
      <c r="H72" s="52" t="s">
        <v>391</v>
      </c>
    </row>
    <row r="73" spans="1:8" x14ac:dyDescent="0.35">
      <c r="A73" s="18"/>
      <c r="B73" s="94" t="s">
        <v>392</v>
      </c>
      <c r="C73" s="95">
        <f>$C$72*$C$11</f>
        <v>2696.7887499999997</v>
      </c>
      <c r="D73" s="56"/>
      <c r="E73" s="56"/>
      <c r="F73" s="56"/>
      <c r="G73" s="56"/>
      <c r="H73" s="67" t="s">
        <v>393</v>
      </c>
    </row>
    <row r="74" spans="1:8" x14ac:dyDescent="0.35">
      <c r="A74" s="18"/>
      <c r="B74" s="78" t="s">
        <v>394</v>
      </c>
      <c r="C74" s="85">
        <f ca="1">C16</f>
        <v>5409.4560077600399</v>
      </c>
      <c r="D74" s="18"/>
      <c r="E74" s="18"/>
      <c r="F74" s="18"/>
      <c r="G74" s="18"/>
      <c r="H74" s="64" t="s">
        <v>395</v>
      </c>
    </row>
    <row r="75" spans="1:8" x14ac:dyDescent="0.35">
      <c r="A75" s="18"/>
      <c r="B75" s="79" t="s">
        <v>396</v>
      </c>
      <c r="C75" s="89">
        <f ca="1">MAX(C74-C73,0)</f>
        <v>2712.6672577600402</v>
      </c>
      <c r="D75" s="18"/>
      <c r="E75" s="18"/>
      <c r="F75" s="18"/>
      <c r="G75" s="18"/>
      <c r="H75" s="64" t="s">
        <v>397</v>
      </c>
    </row>
    <row r="76" spans="1:8" x14ac:dyDescent="0.35">
      <c r="A76" s="18"/>
      <c r="B76" s="79" t="s">
        <v>398</v>
      </c>
      <c r="C76" s="89">
        <f ca="1">$C$71*C75</f>
        <v>271.26672577600402</v>
      </c>
      <c r="D76" s="18"/>
      <c r="E76" s="18"/>
      <c r="F76" s="18"/>
      <c r="G76" s="18"/>
      <c r="H76" s="64" t="s">
        <v>399</v>
      </c>
    </row>
    <row r="77" spans="1:8" x14ac:dyDescent="0.35">
      <c r="A77" s="18"/>
      <c r="B77" s="79" t="s">
        <v>400</v>
      </c>
      <c r="C77" s="89">
        <f ca="1">C74-C76</f>
        <v>5138.1892819840359</v>
      </c>
      <c r="D77" s="18"/>
      <c r="E77" s="18"/>
      <c r="F77" s="18"/>
      <c r="G77" s="18"/>
      <c r="H77" s="64" t="s">
        <v>401</v>
      </c>
    </row>
    <row r="78" spans="1:8" x14ac:dyDescent="0.35">
      <c r="A78" s="18"/>
      <c r="B78" s="183" t="s">
        <v>433</v>
      </c>
      <c r="C78" s="184">
        <f ca="1">C74/$C$11</f>
        <v>2.0058879316223939</v>
      </c>
      <c r="D78" s="182"/>
      <c r="E78" s="182"/>
      <c r="F78" s="182"/>
      <c r="G78" s="182"/>
      <c r="H78" s="105" t="s">
        <v>402</v>
      </c>
    </row>
    <row r="79" spans="1:8" x14ac:dyDescent="0.35">
      <c r="A79" s="18"/>
      <c r="B79" s="90" t="s">
        <v>434</v>
      </c>
      <c r="C79" s="59">
        <f ca="1">C78^(1/$C$6)-1</f>
        <v>0.18770009921168085</v>
      </c>
      <c r="D79" s="18"/>
      <c r="E79" s="18"/>
      <c r="F79" s="18"/>
      <c r="G79" s="18"/>
      <c r="H79" s="64" t="s">
        <v>403</v>
      </c>
    </row>
    <row r="80" spans="1:8" x14ac:dyDescent="0.35">
      <c r="A80" s="18"/>
      <c r="B80" s="90" t="s">
        <v>404</v>
      </c>
      <c r="C80" s="179">
        <f ca="1">$C$20-C79</f>
        <v>-1.5004726369893806E-2</v>
      </c>
      <c r="D80" s="18"/>
      <c r="E80" s="18"/>
      <c r="F80" s="18"/>
      <c r="G80" s="18"/>
      <c r="H80" s="64" t="s">
        <v>405</v>
      </c>
    </row>
    <row r="81" spans="1:8" x14ac:dyDescent="0.35">
      <c r="A81" s="18"/>
      <c r="B81" s="90" t="s">
        <v>406</v>
      </c>
      <c r="C81" s="59">
        <f ca="1">IF(C74=0,0,C76/C74)</f>
        <v>5.0146766215838176E-2</v>
      </c>
      <c r="D81" s="18"/>
      <c r="E81" s="18"/>
      <c r="F81" s="18"/>
      <c r="G81" s="18"/>
      <c r="H81" s="64" t="s">
        <v>407</v>
      </c>
    </row>
    <row r="82" spans="1:8" x14ac:dyDescent="0.35">
      <c r="A82" s="18"/>
      <c r="B82" s="18"/>
      <c r="C82" s="18"/>
      <c r="D82" s="18"/>
      <c r="E82" s="18"/>
      <c r="F82" s="18"/>
      <c r="G82" s="18"/>
      <c r="H82" s="18"/>
    </row>
    <row r="83" spans="1:8" x14ac:dyDescent="0.35">
      <c r="B83" s="204" t="s">
        <v>484</v>
      </c>
      <c r="C83" s="97" t="s">
        <v>485</v>
      </c>
      <c r="D83" s="97" t="s">
        <v>486</v>
      </c>
      <c r="E83" s="192"/>
      <c r="F83" s="192"/>
      <c r="G83" s="192"/>
      <c r="H83" s="23" t="s">
        <v>96</v>
      </c>
    </row>
    <row r="84" spans="1:8" x14ac:dyDescent="0.35">
      <c r="B84" s="205" t="s">
        <v>487</v>
      </c>
      <c r="C84" s="226">
        <f>'4 · Debt Schedule &amp; FCF'!C98</f>
        <v>46371</v>
      </c>
      <c r="D84" s="104">
        <f>-$C$11</f>
        <v>-2696.7887499999997</v>
      </c>
      <c r="E84" s="194"/>
      <c r="F84" s="194"/>
      <c r="G84" s="194"/>
      <c r="H84" s="105" t="s">
        <v>488</v>
      </c>
    </row>
    <row r="85" spans="1:8" x14ac:dyDescent="0.35">
      <c r="B85" s="53" t="s">
        <v>489</v>
      </c>
      <c r="C85" s="227">
        <f>'4 · Debt Schedule &amp; FCF'!C99</f>
        <v>47848</v>
      </c>
      <c r="D85" s="85">
        <f ca="1">$C$18</f>
        <v>5138.1892819840359</v>
      </c>
      <c r="H85" s="64" t="s">
        <v>490</v>
      </c>
    </row>
    <row r="86" spans="1:8" x14ac:dyDescent="0.35">
      <c r="B86" s="79" t="s">
        <v>491</v>
      </c>
      <c r="D86" s="84">
        <f ca="1">XIRR($D$84:$D$85,$C$84:$C$85)</f>
        <v>0.17269536852836614</v>
      </c>
      <c r="H86" s="52" t="s">
        <v>492</v>
      </c>
    </row>
    <row r="87" spans="1:8" x14ac:dyDescent="0.35">
      <c r="B87" s="183" t="s">
        <v>493</v>
      </c>
      <c r="C87" s="194"/>
      <c r="D87" s="206">
        <f>$C$85-$C$84</f>
        <v>1477</v>
      </c>
      <c r="E87" s="194"/>
      <c r="F87" s="194"/>
      <c r="G87" s="194"/>
      <c r="H87" s="105" t="s">
        <v>494</v>
      </c>
    </row>
    <row r="88" spans="1:8" x14ac:dyDescent="0.35">
      <c r="B88" s="90" t="s">
        <v>495</v>
      </c>
      <c r="D88" s="202">
        <f>$D$87/365</f>
        <v>4.0465753424657533</v>
      </c>
      <c r="H88" s="64" t="s">
        <v>618</v>
      </c>
    </row>
    <row r="89" spans="1:8" x14ac:dyDescent="0.35">
      <c r="B89" s="90" t="s">
        <v>496</v>
      </c>
      <c r="D89" s="59">
        <f ca="1">$C$20</f>
        <v>0.17269537284178704</v>
      </c>
      <c r="H89" s="52" t="s">
        <v>497</v>
      </c>
    </row>
    <row r="90" spans="1:8" x14ac:dyDescent="0.35">
      <c r="B90" s="90" t="s">
        <v>498</v>
      </c>
      <c r="D90" s="179">
        <f ca="1">$D$86-$D$89</f>
        <v>-4.3134208982387179E-9</v>
      </c>
      <c r="H90" s="52" t="s">
        <v>619</v>
      </c>
    </row>
    <row r="91" spans="1:8" x14ac:dyDescent="0.35">
      <c r="B91" s="90" t="s">
        <v>499</v>
      </c>
      <c r="D91" s="59">
        <f ca="1">$C$19^(1/$D$88)-1</f>
        <v>0.17269537284178704</v>
      </c>
      <c r="H91" s="52" t="s">
        <v>500</v>
      </c>
    </row>
    <row r="92" spans="1:8" x14ac:dyDescent="0.35">
      <c r="B92" s="90" t="s">
        <v>501</v>
      </c>
      <c r="D92" s="203">
        <f ca="1">ROUND($D$86-$D$91,7)</f>
        <v>0</v>
      </c>
      <c r="H92" s="52" t="s">
        <v>502</v>
      </c>
    </row>
    <row r="94" spans="1:8" x14ac:dyDescent="0.35">
      <c r="A94" s="78"/>
      <c r="B94" s="204" t="s">
        <v>503</v>
      </c>
      <c r="C94" s="97" t="s">
        <v>261</v>
      </c>
      <c r="D94" s="97" t="s">
        <v>504</v>
      </c>
      <c r="E94" s="192"/>
      <c r="F94" s="192"/>
      <c r="G94" s="192"/>
      <c r="H94" s="23" t="s">
        <v>96</v>
      </c>
    </row>
    <row r="95" spans="1:8" x14ac:dyDescent="0.35">
      <c r="A95" s="78"/>
      <c r="B95" s="205" t="s">
        <v>505</v>
      </c>
      <c r="C95" s="103">
        <f>'Transaction Data'!C19</f>
        <v>446.9</v>
      </c>
      <c r="D95" s="194"/>
      <c r="E95" s="194"/>
      <c r="F95" s="194"/>
      <c r="G95" s="194"/>
      <c r="H95" s="102" t="s">
        <v>506</v>
      </c>
    </row>
    <row r="96" spans="1:8" x14ac:dyDescent="0.35">
      <c r="A96" s="78"/>
      <c r="B96" s="53" t="s">
        <v>507</v>
      </c>
      <c r="C96" s="85">
        <f>$C$12</f>
        <v>612.4750908613313</v>
      </c>
      <c r="H96" s="64" t="s">
        <v>508</v>
      </c>
    </row>
    <row r="97" spans="1:8" x14ac:dyDescent="0.35">
      <c r="A97" s="78"/>
      <c r="B97" s="53" t="s">
        <v>509</v>
      </c>
      <c r="C97" s="180">
        <f>$C$8</f>
        <v>11.188185276348177</v>
      </c>
      <c r="H97" s="64" t="s">
        <v>510</v>
      </c>
    </row>
    <row r="98" spans="1:8" x14ac:dyDescent="0.35">
      <c r="A98" s="78"/>
      <c r="B98" s="53" t="s">
        <v>257</v>
      </c>
      <c r="C98" s="180">
        <f>$C$7</f>
        <v>11.2</v>
      </c>
      <c r="H98" s="64" t="s">
        <v>511</v>
      </c>
    </row>
    <row r="99" spans="1:8" x14ac:dyDescent="0.35">
      <c r="A99" s="78"/>
      <c r="B99" s="53" t="s">
        <v>512</v>
      </c>
      <c r="C99" s="88">
        <f>'2 · Sources &amp; Uses'!C20+'2 · Sources &amp; Uses'!C21-'4 · Debt Schedule &amp; FCF'!C15</f>
        <v>2439.66</v>
      </c>
      <c r="H99" s="52" t="s">
        <v>513</v>
      </c>
    </row>
    <row r="100" spans="1:8" x14ac:dyDescent="0.35">
      <c r="A100" s="78"/>
      <c r="B100" s="53" t="s">
        <v>514</v>
      </c>
      <c r="C100" s="85">
        <f ca="1">$C$15</f>
        <v>1450.2650098868698</v>
      </c>
      <c r="H100" s="64" t="s">
        <v>515</v>
      </c>
    </row>
    <row r="101" spans="1:8" x14ac:dyDescent="0.35">
      <c r="A101" s="78"/>
      <c r="B101" s="53" t="s">
        <v>516</v>
      </c>
      <c r="C101" s="85">
        <f>$C$11</f>
        <v>2696.7887499999997</v>
      </c>
      <c r="H101" s="64" t="s">
        <v>517</v>
      </c>
    </row>
    <row r="102" spans="1:8" x14ac:dyDescent="0.35">
      <c r="A102" s="78"/>
      <c r="B102" s="53" t="s">
        <v>518</v>
      </c>
      <c r="C102" s="85">
        <f ca="1">$C$18</f>
        <v>5138.1892819840359</v>
      </c>
      <c r="H102" s="64" t="s">
        <v>519</v>
      </c>
    </row>
    <row r="103" spans="1:8" x14ac:dyDescent="0.35">
      <c r="A103" s="78"/>
      <c r="B103" s="209" t="s">
        <v>520</v>
      </c>
      <c r="C103" s="95">
        <f ca="1">$C$102-$C$101</f>
        <v>2441.4005319840362</v>
      </c>
      <c r="D103" s="210">
        <f ca="1">IF($C$103=0,0,$C$103/$C$103)</f>
        <v>1</v>
      </c>
      <c r="E103" s="159"/>
      <c r="F103" s="159"/>
      <c r="G103" s="159"/>
      <c r="H103" s="67" t="s">
        <v>521</v>
      </c>
    </row>
    <row r="104" spans="1:8" x14ac:dyDescent="0.35">
      <c r="A104" s="78"/>
    </row>
    <row r="105" spans="1:8" x14ac:dyDescent="0.35">
      <c r="A105" s="78"/>
      <c r="B105" s="99" t="s">
        <v>522</v>
      </c>
      <c r="C105" s="104">
        <f>($C$96-$C$95)*$C$97</f>
        <v>1852.4847937047587</v>
      </c>
      <c r="D105" s="211">
        <f ca="1">IF($C$103=0,0,C105/$C$103)</f>
        <v>0.75877954863854824</v>
      </c>
      <c r="E105" s="194"/>
      <c r="F105" s="194"/>
      <c r="G105" s="194"/>
      <c r="H105" s="105" t="s">
        <v>523</v>
      </c>
    </row>
    <row r="106" spans="1:8" x14ac:dyDescent="0.35">
      <c r="A106" s="78"/>
      <c r="B106" s="53" t="s">
        <v>524</v>
      </c>
      <c r="C106" s="85">
        <f>($C$98-$C$97)*$C$96</f>
        <v>7.2362239421513426</v>
      </c>
      <c r="D106" s="207">
        <f ca="1">IF($C$103=0,0,C106/$C$103)</f>
        <v>2.9639642686039437E-3</v>
      </c>
      <c r="H106" s="64" t="s">
        <v>525</v>
      </c>
    </row>
    <row r="107" spans="1:8" x14ac:dyDescent="0.35">
      <c r="A107" s="78"/>
      <c r="B107" s="53" t="s">
        <v>526</v>
      </c>
      <c r="C107" s="85">
        <f ca="1">$C$99-$C$100</f>
        <v>989.39499011313001</v>
      </c>
      <c r="D107" s="207">
        <f ca="1">IF($C$103=0,0,C107/$C$103)</f>
        <v>0.40525713710281092</v>
      </c>
      <c r="H107" s="64" t="s">
        <v>527</v>
      </c>
    </row>
    <row r="108" spans="1:8" x14ac:dyDescent="0.35">
      <c r="A108" s="78"/>
      <c r="B108" s="53" t="s">
        <v>528</v>
      </c>
      <c r="C108" s="85">
        <f ca="1">-$C$17</f>
        <v>-271.26672577600402</v>
      </c>
      <c r="D108" s="207">
        <f ca="1">IF($C$103=0,0,C108/$C$103)</f>
        <v>-0.1111111111111111</v>
      </c>
      <c r="H108" s="64" t="s">
        <v>529</v>
      </c>
    </row>
    <row r="109" spans="1:8" x14ac:dyDescent="0.35">
      <c r="A109" s="78"/>
      <c r="B109" s="53" t="s">
        <v>530</v>
      </c>
      <c r="C109" s="85">
        <f ca="1">$C$103-SUM($C$105:$C$108)</f>
        <v>-136.44874999999956</v>
      </c>
      <c r="D109" s="207">
        <f ca="1">IF($C$103=0,0,C109/$C$103)</f>
        <v>-5.5889538898851919E-2</v>
      </c>
      <c r="H109" s="64" t="s">
        <v>531</v>
      </c>
    </row>
    <row r="110" spans="1:8" x14ac:dyDescent="0.35">
      <c r="A110" s="78"/>
      <c r="B110" s="62" t="s">
        <v>532</v>
      </c>
      <c r="C110" s="89">
        <f ca="1">SUM($C$105:$C$109)</f>
        <v>2441.4005319840362</v>
      </c>
      <c r="D110" s="212">
        <f ca="1">IF($C$103=0,0,SUM($D$105:$D$109))</f>
        <v>0.99999999999999989</v>
      </c>
      <c r="H110" s="64" t="s">
        <v>533</v>
      </c>
    </row>
    <row r="111" spans="1:8" x14ac:dyDescent="0.35">
      <c r="A111" s="78"/>
      <c r="B111" s="213" t="s">
        <v>534</v>
      </c>
      <c r="C111" s="214">
        <f ca="1">ROUND($C$110-$C$103,7)</f>
        <v>0</v>
      </c>
      <c r="D111" s="194"/>
      <c r="E111" s="194"/>
      <c r="F111" s="194"/>
      <c r="G111" s="194"/>
      <c r="H111" s="102" t="s">
        <v>535</v>
      </c>
    </row>
    <row r="112" spans="1:8" x14ac:dyDescent="0.35">
      <c r="A112" s="78"/>
      <c r="B112" s="58" t="s">
        <v>536</v>
      </c>
      <c r="C112" s="208">
        <f ca="1">ROUND($C$109+'2 · Sources &amp; Uses'!C15+'2 · Sources &amp; Uses'!C16,7)</f>
        <v>0</v>
      </c>
      <c r="H112" s="52" t="s">
        <v>537</v>
      </c>
    </row>
    <row r="113" spans="1:8" x14ac:dyDescent="0.35">
      <c r="A113" s="78"/>
      <c r="B113" s="58" t="s">
        <v>538</v>
      </c>
      <c r="C113" s="179">
        <f ca="1">IF($C$103=0,0,($C$105+$C$107)/$C$103)</f>
        <v>1.1640366857413593</v>
      </c>
      <c r="H113" s="64" t="s">
        <v>539</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6" baseType="variant">
      <vt:variant>
        <vt:lpstr>Worksheets</vt:lpstr>
      </vt:variant>
      <vt:variant>
        <vt:i4>7</vt:i4>
      </vt:variant>
      <vt:variant>
        <vt:lpstr>Charts</vt:lpstr>
      </vt:variant>
      <vt:variant>
        <vt:i4>1</vt:i4>
      </vt:variant>
      <vt:variant>
        <vt:lpstr>Named Ranges</vt:lpstr>
      </vt:variant>
      <vt:variant>
        <vt:i4>1</vt:i4>
      </vt:variant>
    </vt:vector>
  </HeadingPairs>
  <TitlesOfParts>
    <vt:vector size="9" baseType="lpstr">
      <vt:lpstr>0 · Cover</vt:lpstr>
      <vt:lpstr>Transaction Data</vt:lpstr>
      <vt:lpstr>1 · Transaction Overview</vt:lpstr>
      <vt:lpstr>2 · Sources &amp; Uses</vt:lpstr>
      <vt:lpstr>3 · Operating Model</vt:lpstr>
      <vt:lpstr>4 · Debt Schedule &amp; FCF</vt:lpstr>
      <vt:lpstr>5 · Returns &amp; Sensitivities</vt:lpstr>
      <vt:lpstr>Chart1</vt:lpstr>
      <vt:lpstr>'0 · Cover'!Print_Area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Yirviel Somé</cp:lastModifiedBy>
  <cp:revision>0</cp:revision>
  <dcterms:created xsi:type="dcterms:W3CDTF">2026-07-31T04:07:02Z</dcterms:created>
  <dcterms:modified xsi:type="dcterms:W3CDTF">2026-08-01T00:32:05Z</dcterms:modified>
  <dc:language>en-US</dc:language>
</cp:coreProperties>
</file>